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baptisteav_ealing_gov_uk/Documents/Documents/"/>
    </mc:Choice>
  </mc:AlternateContent>
  <xr:revisionPtr revIDLastSave="0" documentId="8_{DFECADF9-646F-4526-ACA9-30125FBF0609}" xr6:coauthVersionLast="47" xr6:coauthVersionMax="47" xr10:uidLastSave="{00000000-0000-0000-0000-000000000000}"/>
  <bookViews>
    <workbookView xWindow="-120" yWindow="-120" windowWidth="29040" windowHeight="15840" xr2:uid="{6048A237-F784-45AB-A8E5-E93B9C869EDA}"/>
  </bookViews>
  <sheets>
    <sheet name="School Summary" sheetId="2" r:id="rId1"/>
    <sheet name="All Schools" sheetId="1" r:id="rId2"/>
    <sheet name="Sheet2" sheetId="16" state="hidden" r:id="rId3"/>
    <sheet name="Sheet3" sheetId="17" state="hidden" r:id="rId4"/>
    <sheet name="Schools Version for Payments" sheetId="15" state="hidden" r:id="rId5"/>
    <sheet name="Sheet1" sheetId="14" state="hidden" r:id="rId6"/>
    <sheet name="21-22 Allocations" sheetId="12" state="hidden" r:id="rId7"/>
  </sheets>
  <externalReferences>
    <externalReference r:id="rId8"/>
  </externalReferences>
  <definedNames>
    <definedName name="_xlnm._FilterDatabase" localSheetId="1" hidden="1">'All Schools'!$A$12:$AJ$91</definedName>
    <definedName name="current_year" localSheetId="4">'Schools Version for Payments'!#REF!</definedName>
    <definedName name="current_year">#REF!</definedName>
    <definedName name="previous_year" localSheetId="4">'Schools Version for Payments'!#REF!</definedName>
    <definedName name="previous_year">#REF!</definedName>
    <definedName name="_xlnm.Print_Area" localSheetId="0">'School Summary'!$B$1:$T$44</definedName>
    <definedName name="School">'All Schools'!$D$12:$D$91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8" i="1" l="1"/>
  <c r="Y17" i="1"/>
  <c r="X18" i="1"/>
  <c r="X17" i="1"/>
  <c r="Z121" i="1" l="1"/>
  <c r="W121" i="1"/>
  <c r="M121" i="1"/>
  <c r="N121" i="1"/>
  <c r="O121" i="1"/>
  <c r="P121" i="1"/>
  <c r="Q121" i="1"/>
  <c r="R121" i="1"/>
  <c r="S121" i="1"/>
  <c r="T121" i="1"/>
  <c r="U121" i="1"/>
  <c r="L121" i="1"/>
  <c r="J121" i="1"/>
  <c r="I121" i="1"/>
  <c r="F121" i="1"/>
  <c r="G121" i="1"/>
  <c r="H121" i="1"/>
  <c r="E121" i="1"/>
  <c r="L91" i="1"/>
  <c r="I91" i="1"/>
  <c r="F91" i="1"/>
  <c r="G91" i="1"/>
  <c r="H91" i="1"/>
  <c r="E91" i="1"/>
  <c r="Z119" i="1"/>
  <c r="X119" i="1"/>
  <c r="Y119" i="1"/>
  <c r="W119" i="1"/>
  <c r="M119" i="1"/>
  <c r="N119" i="1"/>
  <c r="O119" i="1"/>
  <c r="P119" i="1"/>
  <c r="Q119" i="1"/>
  <c r="R119" i="1"/>
  <c r="S119" i="1"/>
  <c r="T119" i="1"/>
  <c r="U119" i="1"/>
  <c r="V119" i="1"/>
  <c r="L119" i="1"/>
  <c r="I119" i="1"/>
  <c r="F119" i="1"/>
  <c r="G119" i="1"/>
  <c r="H119" i="1"/>
  <c r="E119" i="1"/>
  <c r="H118" i="15"/>
  <c r="H119" i="15"/>
  <c r="D118" i="15"/>
  <c r="H108" i="15"/>
  <c r="H111" i="15"/>
  <c r="H112" i="15"/>
  <c r="E103" i="15"/>
  <c r="E105" i="15" s="1"/>
  <c r="H101" i="15"/>
  <c r="J99" i="15"/>
  <c r="D99" i="15"/>
  <c r="E99" i="15"/>
  <c r="F99" i="15"/>
  <c r="F103" i="15" s="1"/>
  <c r="F105" i="15" s="1"/>
  <c r="G99" i="15"/>
  <c r="G103" i="15" s="1"/>
  <c r="G105" i="15" s="1"/>
  <c r="H79" i="15"/>
  <c r="H99" i="15" s="1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D10" i="15"/>
  <c r="D103" i="15" s="1"/>
  <c r="D105" i="15" s="1"/>
  <c r="E10" i="15"/>
  <c r="F10" i="15"/>
  <c r="G10" i="15"/>
  <c r="H11" i="15"/>
  <c r="H10" i="15" s="1"/>
  <c r="J11" i="15"/>
  <c r="J10" i="15" s="1"/>
  <c r="H116" i="15" s="1"/>
  <c r="H120" i="15" s="1"/>
  <c r="H12" i="15"/>
  <c r="J12" i="15"/>
  <c r="N12" i="15" s="1"/>
  <c r="H13" i="15"/>
  <c r="J13" i="15"/>
  <c r="N13" i="15"/>
  <c r="H14" i="15"/>
  <c r="J14" i="15"/>
  <c r="N14" i="15" s="1"/>
  <c r="H15" i="15"/>
  <c r="J15" i="15"/>
  <c r="N15" i="15" s="1"/>
  <c r="H16" i="15"/>
  <c r="J16" i="15"/>
  <c r="N16" i="15" s="1"/>
  <c r="H17" i="15"/>
  <c r="J17" i="15"/>
  <c r="N17" i="15"/>
  <c r="H18" i="15"/>
  <c r="J18" i="15"/>
  <c r="N18" i="15" s="1"/>
  <c r="H19" i="15"/>
  <c r="J19" i="15"/>
  <c r="N19" i="15" s="1"/>
  <c r="H20" i="15"/>
  <c r="J20" i="15"/>
  <c r="N20" i="15" s="1"/>
  <c r="H21" i="15"/>
  <c r="J21" i="15"/>
  <c r="N21" i="15"/>
  <c r="H22" i="15"/>
  <c r="J22" i="15"/>
  <c r="N22" i="15" s="1"/>
  <c r="H23" i="15"/>
  <c r="J23" i="15"/>
  <c r="N23" i="15" s="1"/>
  <c r="H24" i="15"/>
  <c r="J24" i="15"/>
  <c r="N24" i="15" s="1"/>
  <c r="H25" i="15"/>
  <c r="J25" i="15"/>
  <c r="N25" i="15"/>
  <c r="H26" i="15"/>
  <c r="J26" i="15"/>
  <c r="N26" i="15" s="1"/>
  <c r="H27" i="15"/>
  <c r="J27" i="15"/>
  <c r="N27" i="15" s="1"/>
  <c r="H28" i="15"/>
  <c r="J28" i="15"/>
  <c r="N28" i="15" s="1"/>
  <c r="H29" i="15"/>
  <c r="J29" i="15"/>
  <c r="N29" i="15"/>
  <c r="H30" i="15"/>
  <c r="J30" i="15"/>
  <c r="N30" i="15" s="1"/>
  <c r="H31" i="15"/>
  <c r="J31" i="15"/>
  <c r="N31" i="15" s="1"/>
  <c r="H32" i="15"/>
  <c r="J32" i="15"/>
  <c r="N32" i="15" s="1"/>
  <c r="H33" i="15"/>
  <c r="J33" i="15"/>
  <c r="N33" i="15"/>
  <c r="H34" i="15"/>
  <c r="J34" i="15"/>
  <c r="N34" i="15" s="1"/>
  <c r="H35" i="15"/>
  <c r="J35" i="15"/>
  <c r="N35" i="15" s="1"/>
  <c r="H36" i="15"/>
  <c r="J36" i="15"/>
  <c r="N36" i="15" s="1"/>
  <c r="H37" i="15"/>
  <c r="J37" i="15"/>
  <c r="N37" i="15"/>
  <c r="H38" i="15"/>
  <c r="J38" i="15"/>
  <c r="N38" i="15" s="1"/>
  <c r="H39" i="15"/>
  <c r="J39" i="15"/>
  <c r="N39" i="15" s="1"/>
  <c r="H40" i="15"/>
  <c r="J40" i="15"/>
  <c r="N40" i="15" s="1"/>
  <c r="H41" i="15"/>
  <c r="J41" i="15"/>
  <c r="N41" i="15"/>
  <c r="H42" i="15"/>
  <c r="J42" i="15"/>
  <c r="N42" i="15" s="1"/>
  <c r="H43" i="15"/>
  <c r="J43" i="15"/>
  <c r="N43" i="15" s="1"/>
  <c r="H44" i="15"/>
  <c r="J44" i="15"/>
  <c r="N44" i="15" s="1"/>
  <c r="H45" i="15"/>
  <c r="J45" i="15"/>
  <c r="N45" i="15"/>
  <c r="H46" i="15"/>
  <c r="J46" i="15"/>
  <c r="N46" i="15" s="1"/>
  <c r="H47" i="15"/>
  <c r="J47" i="15"/>
  <c r="N47" i="15" s="1"/>
  <c r="H48" i="15"/>
  <c r="J48" i="15"/>
  <c r="N48" i="15" s="1"/>
  <c r="H49" i="15"/>
  <c r="J49" i="15"/>
  <c r="N49" i="15"/>
  <c r="H50" i="15"/>
  <c r="J50" i="15"/>
  <c r="N50" i="15" s="1"/>
  <c r="H51" i="15"/>
  <c r="J51" i="15"/>
  <c r="N51" i="15" s="1"/>
  <c r="H52" i="15"/>
  <c r="J52" i="15"/>
  <c r="N52" i="15" s="1"/>
  <c r="H53" i="15"/>
  <c r="J53" i="15"/>
  <c r="N53" i="15"/>
  <c r="H54" i="15"/>
  <c r="J54" i="15"/>
  <c r="N54" i="15" s="1"/>
  <c r="H55" i="15"/>
  <c r="J55" i="15"/>
  <c r="N55" i="15" s="1"/>
  <c r="H56" i="15"/>
  <c r="J56" i="15"/>
  <c r="N56" i="15" s="1"/>
  <c r="H57" i="15"/>
  <c r="J57" i="15"/>
  <c r="N57" i="15"/>
  <c r="H58" i="15"/>
  <c r="J58" i="15"/>
  <c r="N58" i="15" s="1"/>
  <c r="H59" i="15"/>
  <c r="J59" i="15"/>
  <c r="N59" i="15" s="1"/>
  <c r="H60" i="15"/>
  <c r="J60" i="15"/>
  <c r="N60" i="15" s="1"/>
  <c r="H61" i="15"/>
  <c r="J61" i="15"/>
  <c r="N61" i="15"/>
  <c r="H62" i="15"/>
  <c r="J62" i="15"/>
  <c r="N62" i="15" s="1"/>
  <c r="H63" i="15"/>
  <c r="J63" i="15"/>
  <c r="N63" i="15" s="1"/>
  <c r="H64" i="15"/>
  <c r="J64" i="15"/>
  <c r="N64" i="15" s="1"/>
  <c r="H65" i="15"/>
  <c r="J65" i="15"/>
  <c r="N65" i="15"/>
  <c r="H66" i="15"/>
  <c r="J66" i="15"/>
  <c r="N66" i="15" s="1"/>
  <c r="H67" i="15"/>
  <c r="J67" i="15"/>
  <c r="N67" i="15" s="1"/>
  <c r="H68" i="15"/>
  <c r="J68" i="15"/>
  <c r="N68" i="15" s="1"/>
  <c r="H69" i="15"/>
  <c r="J69" i="15"/>
  <c r="N69" i="15"/>
  <c r="H70" i="15"/>
  <c r="J70" i="15"/>
  <c r="N70" i="15" s="1"/>
  <c r="H71" i="15"/>
  <c r="J71" i="15"/>
  <c r="N71" i="15" s="1"/>
  <c r="H72" i="15"/>
  <c r="J72" i="15"/>
  <c r="N72" i="15" s="1"/>
  <c r="H73" i="15"/>
  <c r="J73" i="15"/>
  <c r="N73" i="15"/>
  <c r="H74" i="15"/>
  <c r="J74" i="15"/>
  <c r="N74" i="15"/>
  <c r="H75" i="15"/>
  <c r="J75" i="15"/>
  <c r="N75" i="15" s="1"/>
  <c r="H76" i="15"/>
  <c r="J76" i="15"/>
  <c r="N76" i="15" s="1"/>
  <c r="S33" i="14"/>
  <c r="T33" i="14" s="1"/>
  <c r="S32" i="14"/>
  <c r="T32" i="14" s="1"/>
  <c r="S31" i="14"/>
  <c r="T31" i="14" s="1"/>
  <c r="S30" i="14"/>
  <c r="T30" i="14" s="1"/>
  <c r="S29" i="14"/>
  <c r="T29" i="14" s="1"/>
  <c r="S28" i="14"/>
  <c r="T28" i="14" s="1"/>
  <c r="S27" i="14"/>
  <c r="T27" i="14" s="1"/>
  <c r="S26" i="14"/>
  <c r="T26" i="14" s="1"/>
  <c r="S25" i="14"/>
  <c r="T25" i="14" s="1"/>
  <c r="S24" i="14"/>
  <c r="T24" i="14" s="1"/>
  <c r="S23" i="14"/>
  <c r="T23" i="14" s="1"/>
  <c r="S22" i="14"/>
  <c r="T22" i="14" s="1"/>
  <c r="S21" i="14"/>
  <c r="T21" i="14" s="1"/>
  <c r="S20" i="14"/>
  <c r="T20" i="14" s="1"/>
  <c r="S19" i="14"/>
  <c r="T19" i="14" s="1"/>
  <c r="S18" i="14"/>
  <c r="T18" i="14" s="1"/>
  <c r="T17" i="14"/>
  <c r="T16" i="14"/>
  <c r="T15" i="14"/>
  <c r="T14" i="14"/>
  <c r="T13" i="14"/>
  <c r="T12" i="14"/>
  <c r="T11" i="14"/>
  <c r="T10" i="14"/>
  <c r="U10" i="14" s="1"/>
  <c r="T9" i="14"/>
  <c r="U9" i="14" s="1"/>
  <c r="T8" i="14"/>
  <c r="T7" i="14"/>
  <c r="U6" i="14"/>
  <c r="T6" i="14"/>
  <c r="T5" i="14"/>
  <c r="T4" i="14"/>
  <c r="T3" i="14"/>
  <c r="T2" i="14"/>
  <c r="H33" i="14"/>
  <c r="I33" i="14" s="1"/>
  <c r="H32" i="14"/>
  <c r="I32" i="14" s="1"/>
  <c r="H31" i="14"/>
  <c r="I31" i="14" s="1"/>
  <c r="H30" i="14"/>
  <c r="I30" i="14" s="1"/>
  <c r="H29" i="14"/>
  <c r="I29" i="14" s="1"/>
  <c r="H28" i="14"/>
  <c r="I28" i="14" s="1"/>
  <c r="H27" i="14"/>
  <c r="I27" i="14" s="1"/>
  <c r="H26" i="14"/>
  <c r="I26" i="14" s="1"/>
  <c r="H25" i="14"/>
  <c r="I25" i="14" s="1"/>
  <c r="H24" i="14"/>
  <c r="I24" i="14" s="1"/>
  <c r="H23" i="14"/>
  <c r="I23" i="14" s="1"/>
  <c r="H22" i="14"/>
  <c r="I22" i="14" s="1"/>
  <c r="H21" i="14"/>
  <c r="I21" i="14" s="1"/>
  <c r="H20" i="14"/>
  <c r="I20" i="14" s="1"/>
  <c r="H19" i="14"/>
  <c r="I19" i="14" s="1"/>
  <c r="H18" i="14"/>
  <c r="I18" i="14" s="1"/>
  <c r="I17" i="14"/>
  <c r="I16" i="14"/>
  <c r="I15" i="14"/>
  <c r="J15" i="14" s="1"/>
  <c r="I14" i="14"/>
  <c r="I13" i="14"/>
  <c r="I12" i="14"/>
  <c r="I11" i="14"/>
  <c r="I10" i="14"/>
  <c r="J10" i="14" s="1"/>
  <c r="I9" i="14"/>
  <c r="J9" i="14" s="1"/>
  <c r="I8" i="14"/>
  <c r="I7" i="14"/>
  <c r="I6" i="14"/>
  <c r="J6" i="14" s="1"/>
  <c r="I5" i="14"/>
  <c r="I4" i="14"/>
  <c r="I3" i="14"/>
  <c r="I2" i="14"/>
  <c r="J2" i="14" s="1"/>
  <c r="H103" i="15" l="1"/>
  <c r="H105" i="15" s="1"/>
  <c r="H109" i="15"/>
  <c r="H110" i="15" s="1"/>
  <c r="H114" i="15" s="1"/>
  <c r="N11" i="15"/>
  <c r="N10" i="15" s="1"/>
  <c r="X91" i="1"/>
  <c r="Y91" i="1"/>
  <c r="U15" i="14"/>
  <c r="U2" i="14"/>
  <c r="J12" i="14"/>
  <c r="U12" i="14"/>
  <c r="Y96" i="1" l="1"/>
  <c r="Y121" i="1"/>
  <c r="X96" i="1"/>
  <c r="X121" i="1"/>
  <c r="A13" i="1"/>
  <c r="A14" i="1"/>
  <c r="A15" i="1"/>
  <c r="A16" i="1"/>
  <c r="A17" i="1"/>
  <c r="A18" i="1"/>
  <c r="A102" i="1"/>
  <c r="A103" i="1"/>
  <c r="A104" i="1"/>
  <c r="A20" i="1"/>
  <c r="A21" i="1"/>
  <c r="A105" i="1"/>
  <c r="A106" i="1"/>
  <c r="A107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108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109" i="1"/>
  <c r="A110" i="1"/>
  <c r="A111" i="1"/>
  <c r="A112" i="1"/>
  <c r="A78" i="1"/>
  <c r="A113" i="1"/>
  <c r="A114" i="1"/>
  <c r="A79" i="1"/>
  <c r="A115" i="1"/>
  <c r="A80" i="1"/>
  <c r="A116" i="1"/>
  <c r="A81" i="1"/>
  <c r="A82" i="1"/>
  <c r="A83" i="1"/>
  <c r="A117" i="1"/>
  <c r="A84" i="1"/>
  <c r="A118" i="1"/>
  <c r="A85" i="1"/>
  <c r="A86" i="1"/>
  <c r="A87" i="1"/>
  <c r="A88" i="1"/>
  <c r="A89" i="1"/>
  <c r="A90" i="1"/>
  <c r="A19" i="1"/>
  <c r="G5" i="2" l="1"/>
  <c r="J102" i="1" l="1"/>
  <c r="J103" i="1"/>
  <c r="J104" i="1"/>
  <c r="J105" i="1"/>
  <c r="J106" i="1"/>
  <c r="J107" i="1"/>
  <c r="J108" i="1"/>
  <c r="J116" i="1"/>
  <c r="J109" i="1"/>
  <c r="J110" i="1"/>
  <c r="J111" i="1"/>
  <c r="J112" i="1"/>
  <c r="J113" i="1"/>
  <c r="J114" i="1"/>
  <c r="J115" i="1"/>
  <c r="J117" i="1"/>
  <c r="J118" i="1"/>
  <c r="AI99" i="12"/>
  <c r="AH99" i="12"/>
  <c r="AG99" i="12"/>
  <c r="AF99" i="12"/>
  <c r="AE99" i="12"/>
  <c r="AD99" i="12"/>
  <c r="AC99" i="12"/>
  <c r="AB99" i="12"/>
  <c r="AA99" i="12"/>
  <c r="Z99" i="12"/>
  <c r="Y99" i="12"/>
  <c r="X99" i="12"/>
  <c r="W99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D99" i="12"/>
  <c r="C99" i="12"/>
  <c r="E5" i="12"/>
  <c r="E4" i="12"/>
  <c r="E2" i="12"/>
  <c r="AK2" i="12" s="1"/>
  <c r="E3" i="12"/>
  <c r="AK95" i="12" s="1"/>
  <c r="AK94" i="12"/>
  <c r="E6" i="12"/>
  <c r="E7" i="12"/>
  <c r="E14" i="12"/>
  <c r="E85" i="12"/>
  <c r="E86" i="12"/>
  <c r="AK86" i="12" s="1"/>
  <c r="E54" i="12"/>
  <c r="AK89" i="12" s="1"/>
  <c r="E47" i="12"/>
  <c r="E74" i="12"/>
  <c r="AK74" i="12" s="1"/>
  <c r="E22" i="12"/>
  <c r="E23" i="12"/>
  <c r="E79" i="12"/>
  <c r="E53" i="12"/>
  <c r="E60" i="12"/>
  <c r="AK60" i="12" s="1"/>
  <c r="E83" i="12"/>
  <c r="E58" i="12"/>
  <c r="AK58" i="12" s="1"/>
  <c r="E56" i="12"/>
  <c r="E52" i="12"/>
  <c r="E69" i="12"/>
  <c r="E68" i="12"/>
  <c r="E10" i="12"/>
  <c r="E21" i="12"/>
  <c r="E67" i="12"/>
  <c r="AK73" i="12" s="1"/>
  <c r="E20" i="12"/>
  <c r="E64" i="12"/>
  <c r="E66" i="12"/>
  <c r="AK66" i="12" s="1"/>
  <c r="E65" i="12"/>
  <c r="AK69" i="12" s="1"/>
  <c r="AK68" i="12"/>
  <c r="E98" i="12"/>
  <c r="AK98" i="12" s="1"/>
  <c r="E97" i="12"/>
  <c r="E35" i="12"/>
  <c r="E31" i="12"/>
  <c r="AK64" i="12"/>
  <c r="E30" i="12"/>
  <c r="E71" i="12"/>
  <c r="AK62" i="12"/>
  <c r="E51" i="12"/>
  <c r="E63" i="12"/>
  <c r="E18" i="12"/>
  <c r="AK18" i="12" s="1"/>
  <c r="E50" i="12"/>
  <c r="E91" i="12"/>
  <c r="E29" i="12"/>
  <c r="AK57" i="12" s="1"/>
  <c r="E19" i="12"/>
  <c r="E72" i="12"/>
  <c r="E62" i="12"/>
  <c r="E57" i="12"/>
  <c r="AK52" i="12"/>
  <c r="E24" i="12"/>
  <c r="AK24" i="12" s="1"/>
  <c r="E95" i="12"/>
  <c r="E49" i="12"/>
  <c r="E48" i="12"/>
  <c r="AK49" i="12" s="1"/>
  <c r="E34" i="12"/>
  <c r="E96" i="12"/>
  <c r="E46" i="12"/>
  <c r="AK46" i="12" s="1"/>
  <c r="E8" i="12"/>
  <c r="E33" i="12"/>
  <c r="E45" i="12"/>
  <c r="E32" i="12"/>
  <c r="AK32" i="12" s="1"/>
  <c r="E44" i="12"/>
  <c r="AK41" i="12" s="1"/>
  <c r="E88" i="12"/>
  <c r="AK88" i="12" s="1"/>
  <c r="E61" i="12"/>
  <c r="E43" i="12"/>
  <c r="E42" i="12"/>
  <c r="E55" i="12"/>
  <c r="E81" i="12"/>
  <c r="AK35" i="12" s="1"/>
  <c r="AK34" i="12"/>
  <c r="E82" i="12"/>
  <c r="AK82" i="12" s="1"/>
  <c r="E89" i="12"/>
  <c r="E70" i="12"/>
  <c r="AK70" i="12" s="1"/>
  <c r="E17" i="12"/>
  <c r="AK31" i="12" s="1"/>
  <c r="AK30" i="12"/>
  <c r="E75" i="12"/>
  <c r="E41" i="12"/>
  <c r="E90" i="12"/>
  <c r="AK90" i="12" s="1"/>
  <c r="E28" i="12"/>
  <c r="E27" i="12"/>
  <c r="E15" i="12"/>
  <c r="E16" i="12"/>
  <c r="E80" i="12"/>
  <c r="AK23" i="12" s="1"/>
  <c r="AK22" i="12"/>
  <c r="E40" i="12"/>
  <c r="AK40" i="12" s="1"/>
  <c r="E39" i="12"/>
  <c r="AK20" i="12"/>
  <c r="E26" i="12"/>
  <c r="AK26" i="12" s="1"/>
  <c r="E38" i="12"/>
  <c r="E73" i="12"/>
  <c r="E94" i="12"/>
  <c r="AK16" i="12"/>
  <c r="E84" i="12"/>
  <c r="AK84" i="12" s="1"/>
  <c r="E59" i="12"/>
  <c r="AK14" i="12"/>
  <c r="E87" i="12"/>
  <c r="E37" i="12"/>
  <c r="E12" i="12"/>
  <c r="AK12" i="12" s="1"/>
  <c r="E13" i="12"/>
  <c r="AK10" i="12"/>
  <c r="E93" i="12"/>
  <c r="E25" i="12"/>
  <c r="AK9" i="12" s="1"/>
  <c r="AK8" i="12"/>
  <c r="E76" i="12"/>
  <c r="AK76" i="12" s="1"/>
  <c r="E78" i="12"/>
  <c r="AK7" i="12" s="1"/>
  <c r="AK6" i="12"/>
  <c r="E9" i="12"/>
  <c r="E11" i="12"/>
  <c r="AK5" i="12" s="1"/>
  <c r="AK4" i="12"/>
  <c r="E36" i="12"/>
  <c r="AK36" i="12" s="1"/>
  <c r="E92" i="12"/>
  <c r="AK92" i="12" s="1"/>
  <c r="E77" i="12"/>
  <c r="J119" i="1" l="1"/>
  <c r="AK11" i="12"/>
  <c r="AK97" i="12"/>
  <c r="AK81" i="12"/>
  <c r="AK19" i="12"/>
  <c r="AK38" i="12"/>
  <c r="AK51" i="12"/>
  <c r="AK33" i="12"/>
  <c r="AK39" i="12"/>
  <c r="AK65" i="12"/>
  <c r="AK78" i="12"/>
  <c r="AK63" i="12"/>
  <c r="AK47" i="12"/>
  <c r="AK25" i="12"/>
  <c r="E99" i="12"/>
  <c r="AK21" i="12"/>
  <c r="AK37" i="12"/>
  <c r="AK42" i="12"/>
  <c r="AK53" i="12"/>
  <c r="AK85" i="12"/>
  <c r="AK27" i="12"/>
  <c r="AK43" i="12"/>
  <c r="AK48" i="12"/>
  <c r="AK59" i="12"/>
  <c r="AK75" i="12"/>
  <c r="AK80" i="12"/>
  <c r="AK91" i="12"/>
  <c r="AK96" i="12"/>
  <c r="AK17" i="12"/>
  <c r="AK54" i="12"/>
  <c r="AK79" i="12"/>
  <c r="AK44" i="12"/>
  <c r="AK55" i="12"/>
  <c r="AK71" i="12"/>
  <c r="AK87" i="12"/>
  <c r="AK28" i="12"/>
  <c r="AK13" i="12"/>
  <c r="AK29" i="12"/>
  <c r="AK45" i="12"/>
  <c r="AK50" i="12"/>
  <c r="AK61" i="12"/>
  <c r="AK77" i="12"/>
  <c r="AK93" i="12"/>
  <c r="AK15" i="12"/>
  <c r="AK3" i="12"/>
  <c r="AK56" i="12"/>
  <c r="AK67" i="12"/>
  <c r="AK72" i="12"/>
  <c r="AK83" i="12"/>
  <c r="AK99" i="12" l="1"/>
  <c r="J16" i="2" l="1"/>
  <c r="K16" i="2"/>
  <c r="L16" i="2"/>
  <c r="M16" i="2"/>
  <c r="N16" i="2"/>
  <c r="O16" i="2"/>
  <c r="P16" i="2"/>
  <c r="Q16" i="2"/>
  <c r="R16" i="2"/>
  <c r="S16" i="2"/>
  <c r="T16" i="2"/>
  <c r="I17" i="2"/>
  <c r="J17" i="2"/>
  <c r="K17" i="2"/>
  <c r="L17" i="2"/>
  <c r="M17" i="2"/>
  <c r="N17" i="2"/>
  <c r="O17" i="2"/>
  <c r="P17" i="2"/>
  <c r="Q17" i="2"/>
  <c r="R17" i="2"/>
  <c r="S17" i="2"/>
  <c r="T17" i="2"/>
  <c r="J19" i="1" l="1"/>
  <c r="Q91" i="1"/>
  <c r="J85" i="1"/>
  <c r="J86" i="1"/>
  <c r="J87" i="1"/>
  <c r="J88" i="1"/>
  <c r="J89" i="1"/>
  <c r="J90" i="1"/>
  <c r="J13" i="1"/>
  <c r="J14" i="1"/>
  <c r="J15" i="1"/>
  <c r="J16" i="1"/>
  <c r="J17" i="1"/>
  <c r="J18" i="1"/>
  <c r="AA89" i="1" l="1"/>
  <c r="AC89" i="1" s="1"/>
  <c r="AA90" i="1"/>
  <c r="AC90" i="1" s="1"/>
  <c r="AA17" i="1"/>
  <c r="AC17" i="1" s="1"/>
  <c r="AA85" i="1"/>
  <c r="AC85" i="1" s="1"/>
  <c r="AA86" i="1"/>
  <c r="AC86" i="1" s="1"/>
  <c r="AA18" i="1"/>
  <c r="AC18" i="1" s="1"/>
  <c r="AA88" i="1"/>
  <c r="AC88" i="1" s="1"/>
  <c r="AA87" i="1"/>
  <c r="AC87" i="1" s="1"/>
  <c r="F37" i="2" l="1"/>
  <c r="F38" i="2"/>
  <c r="G38" i="2"/>
  <c r="G39" i="2"/>
  <c r="F40" i="2"/>
  <c r="F41" i="2"/>
  <c r="U91" i="1" l="1"/>
  <c r="V91" i="1"/>
  <c r="V121" i="1" s="1"/>
  <c r="S91" i="1" l="1"/>
  <c r="G34" i="2" l="1"/>
  <c r="F34" i="2"/>
  <c r="T91" i="1" l="1"/>
  <c r="R91" i="1" l="1"/>
  <c r="D8" i="1" l="1"/>
  <c r="E8" i="1" s="1"/>
  <c r="J20" i="1" l="1"/>
  <c r="F43" i="2" l="1"/>
  <c r="E43" i="2" s="1"/>
  <c r="J22" i="1"/>
  <c r="J23" i="1"/>
  <c r="J83" i="1"/>
  <c r="J81" i="1"/>
  <c r="J79" i="1"/>
  <c r="J76" i="1"/>
  <c r="J74" i="1"/>
  <c r="J72" i="1"/>
  <c r="J70" i="1"/>
  <c r="J68" i="1"/>
  <c r="J66" i="1"/>
  <c r="J64" i="1"/>
  <c r="J62" i="1"/>
  <c r="J60" i="1"/>
  <c r="J69" i="1"/>
  <c r="J59" i="1"/>
  <c r="J57" i="1"/>
  <c r="J55" i="1"/>
  <c r="J53" i="1"/>
  <c r="J51" i="1"/>
  <c r="J49" i="1"/>
  <c r="J47" i="1"/>
  <c r="J45" i="1"/>
  <c r="J43" i="1"/>
  <c r="J80" i="1"/>
  <c r="J67" i="1"/>
  <c r="J61" i="1"/>
  <c r="J82" i="1"/>
  <c r="J58" i="1"/>
  <c r="J56" i="1"/>
  <c r="J54" i="1"/>
  <c r="J52" i="1"/>
  <c r="J50" i="1"/>
  <c r="J48" i="1"/>
  <c r="J46" i="1"/>
  <c r="J44" i="1"/>
  <c r="J84" i="1"/>
  <c r="J77" i="1"/>
  <c r="J75" i="1"/>
  <c r="J78" i="1"/>
  <c r="J71" i="1"/>
  <c r="J41" i="1"/>
  <c r="J34" i="1"/>
  <c r="J35" i="1"/>
  <c r="J65" i="1"/>
  <c r="J42" i="1"/>
  <c r="J37" i="1"/>
  <c r="J24" i="1"/>
  <c r="J21" i="1"/>
  <c r="J30" i="1"/>
  <c r="J63" i="1"/>
  <c r="J38" i="1"/>
  <c r="J26" i="1"/>
  <c r="J25" i="1"/>
  <c r="J73" i="1"/>
  <c r="J28" i="1"/>
  <c r="J29" i="1"/>
  <c r="J27" i="1"/>
  <c r="J39" i="1"/>
  <c r="J32" i="1"/>
  <c r="J31" i="1"/>
  <c r="J33" i="1"/>
  <c r="J40" i="1"/>
  <c r="J36" i="1"/>
  <c r="F42" i="2"/>
  <c r="E38" i="2" l="1"/>
  <c r="J91" i="1" l="1"/>
  <c r="G42" i="2"/>
  <c r="E42" i="2" s="1"/>
  <c r="M91" i="1" l="1"/>
  <c r="N91" i="1" l="1"/>
  <c r="O91" i="1" l="1"/>
  <c r="P91" i="1" l="1"/>
  <c r="Z91" i="1" l="1"/>
  <c r="F8" i="1" l="1"/>
  <c r="G8" i="1" s="1"/>
  <c r="H8" i="1" l="1"/>
  <c r="I8" i="1" l="1"/>
  <c r="G14" i="2" s="1"/>
  <c r="I14" i="2" s="1"/>
  <c r="F9" i="2"/>
  <c r="J8" i="1" l="1"/>
  <c r="K8" i="1" s="1"/>
  <c r="L8" i="1" s="1"/>
  <c r="M8" i="1" s="1"/>
  <c r="G16" i="2" s="1"/>
  <c r="F35" i="2"/>
  <c r="P9" i="2"/>
  <c r="N9" i="2"/>
  <c r="K9" i="2"/>
  <c r="M9" i="2"/>
  <c r="O9" i="2"/>
  <c r="J9" i="2"/>
  <c r="S9" i="2"/>
  <c r="I9" i="2"/>
  <c r="Q9" i="2"/>
  <c r="L9" i="2"/>
  <c r="R9" i="2"/>
  <c r="G15" i="2"/>
  <c r="T9" i="2" l="1"/>
  <c r="J15" i="2"/>
  <c r="R15" i="2"/>
  <c r="K15" i="2"/>
  <c r="L15" i="2"/>
  <c r="T15" i="2"/>
  <c r="O15" i="2"/>
  <c r="M15" i="2"/>
  <c r="I15" i="2"/>
  <c r="N15" i="2"/>
  <c r="Q15" i="2"/>
  <c r="S15" i="2"/>
  <c r="P15" i="2"/>
  <c r="N8" i="1"/>
  <c r="O8" i="1" l="1"/>
  <c r="G17" i="2"/>
  <c r="P8" i="1" l="1"/>
  <c r="G18" i="2"/>
  <c r="Q8" i="1" l="1"/>
  <c r="G20" i="2" s="1"/>
  <c r="G19" i="2"/>
  <c r="R20" i="2" l="1"/>
  <c r="P20" i="2"/>
  <c r="I20" i="2"/>
  <c r="M20" i="2"/>
  <c r="O20" i="2"/>
  <c r="S20" i="2"/>
  <c r="Q20" i="2"/>
  <c r="K20" i="2"/>
  <c r="L20" i="2"/>
  <c r="J20" i="2"/>
  <c r="T20" i="2"/>
  <c r="N20" i="2"/>
  <c r="R8" i="1"/>
  <c r="S8" i="1" l="1"/>
  <c r="F22" i="2" s="1"/>
  <c r="G21" i="2"/>
  <c r="T8" i="1"/>
  <c r="F23" i="2" s="1"/>
  <c r="S23" i="2" l="1"/>
  <c r="N23" i="2"/>
  <c r="R23" i="2"/>
  <c r="P23" i="2"/>
  <c r="L23" i="2"/>
  <c r="K23" i="2"/>
  <c r="M23" i="2"/>
  <c r="O23" i="2"/>
  <c r="J23" i="2"/>
  <c r="I23" i="2"/>
  <c r="Q23" i="2"/>
  <c r="O21" i="2"/>
  <c r="M21" i="2"/>
  <c r="Q21" i="2"/>
  <c r="S21" i="2"/>
  <c r="J21" i="2"/>
  <c r="N21" i="2"/>
  <c r="P21" i="2"/>
  <c r="I21" i="2"/>
  <c r="L21" i="2"/>
  <c r="T21" i="2"/>
  <c r="K21" i="2"/>
  <c r="R21" i="2"/>
  <c r="S22" i="2"/>
  <c r="I22" i="2"/>
  <c r="M22" i="2"/>
  <c r="L22" i="2"/>
  <c r="N22" i="2"/>
  <c r="K22" i="2"/>
  <c r="O22" i="2"/>
  <c r="Q22" i="2"/>
  <c r="R22" i="2"/>
  <c r="J22" i="2"/>
  <c r="P22" i="2"/>
  <c r="U8" i="1"/>
  <c r="T23" i="2" l="1"/>
  <c r="T22" i="2"/>
  <c r="V8" i="1"/>
  <c r="F24" i="2"/>
  <c r="O24" i="2" l="1"/>
  <c r="P24" i="2"/>
  <c r="K24" i="2"/>
  <c r="I24" i="2"/>
  <c r="S24" i="2"/>
  <c r="J24" i="2"/>
  <c r="R24" i="2"/>
  <c r="L24" i="2"/>
  <c r="Q24" i="2"/>
  <c r="N24" i="2"/>
  <c r="M24" i="2"/>
  <c r="W8" i="1"/>
  <c r="F25" i="2"/>
  <c r="G35" i="2"/>
  <c r="E35" i="2" s="1"/>
  <c r="T24" i="2" l="1"/>
  <c r="X8" i="1"/>
  <c r="G26" i="2"/>
  <c r="L25" i="2"/>
  <c r="Q25" i="2"/>
  <c r="N25" i="2"/>
  <c r="M25" i="2"/>
  <c r="P25" i="2"/>
  <c r="O25" i="2"/>
  <c r="I25" i="2"/>
  <c r="K25" i="2"/>
  <c r="S25" i="2"/>
  <c r="R25" i="2"/>
  <c r="J25" i="2"/>
  <c r="T25" i="2" l="1"/>
  <c r="T26" i="2"/>
  <c r="J26" i="2"/>
  <c r="K26" i="2"/>
  <c r="N26" i="2"/>
  <c r="O26" i="2"/>
  <c r="R26" i="2"/>
  <c r="S26" i="2"/>
  <c r="I26" i="2"/>
  <c r="L26" i="2"/>
  <c r="P26" i="2"/>
  <c r="M26" i="2"/>
  <c r="Q26" i="2"/>
  <c r="Y8" i="1"/>
  <c r="G27" i="2"/>
  <c r="F39" i="2"/>
  <c r="G40" i="2"/>
  <c r="E40" i="2" s="1"/>
  <c r="G37" i="2"/>
  <c r="E37" i="2" s="1"/>
  <c r="G36" i="2"/>
  <c r="J27" i="2" l="1"/>
  <c r="O27" i="2"/>
  <c r="Z8" i="1"/>
  <c r="G28" i="2"/>
  <c r="G31" i="2" l="1"/>
  <c r="J28" i="2"/>
  <c r="O28" i="2"/>
  <c r="F29" i="2"/>
  <c r="AA8" i="1"/>
  <c r="AB8" i="1" s="1"/>
  <c r="AC8" i="1" s="1"/>
  <c r="AD8" i="1" s="1"/>
  <c r="AE8" i="1" s="1"/>
  <c r="AF8" i="1" s="1"/>
  <c r="E39" i="2"/>
  <c r="AH8" i="1" l="1"/>
  <c r="AI8" i="1" s="1"/>
  <c r="AJ8" i="1" s="1"/>
  <c r="AG8" i="1"/>
  <c r="G41" i="2" s="1"/>
  <c r="M29" i="2"/>
  <c r="M31" i="2" s="1"/>
  <c r="R29" i="2"/>
  <c r="R31" i="2" s="1"/>
  <c r="S29" i="2"/>
  <c r="S31" i="2" s="1"/>
  <c r="K29" i="2"/>
  <c r="K31" i="2" s="1"/>
  <c r="Q29" i="2"/>
  <c r="Q31" i="2" s="1"/>
  <c r="O29" i="2"/>
  <c r="O31" i="2" s="1"/>
  <c r="J29" i="2"/>
  <c r="J31" i="2" s="1"/>
  <c r="P29" i="2"/>
  <c r="P31" i="2" s="1"/>
  <c r="N29" i="2"/>
  <c r="N31" i="2" s="1"/>
  <c r="L29" i="2"/>
  <c r="L31" i="2" s="1"/>
  <c r="I29" i="2"/>
  <c r="I31" i="2" s="1"/>
  <c r="F31" i="2"/>
  <c r="F36" i="2"/>
  <c r="AA16" i="1"/>
  <c r="AC16" i="1" s="1"/>
  <c r="AA15" i="1"/>
  <c r="AC15" i="1" s="1"/>
  <c r="AA14" i="1"/>
  <c r="AC14" i="1" s="1"/>
  <c r="E36" i="2" l="1"/>
  <c r="F44" i="2"/>
  <c r="T29" i="2"/>
  <c r="T31" i="2" s="1"/>
  <c r="E41" i="2"/>
  <c r="G44" i="2"/>
  <c r="AA51" i="1"/>
  <c r="AC51" i="1" s="1"/>
  <c r="AA22" i="1"/>
  <c r="AC22" i="1" s="1"/>
  <c r="AA113" i="1"/>
  <c r="AC113" i="1" s="1"/>
  <c r="AA73" i="1"/>
  <c r="AC73" i="1" s="1"/>
  <c r="AA108" i="1"/>
  <c r="AC108" i="1" s="1"/>
  <c r="AA74" i="1"/>
  <c r="AC74" i="1" s="1"/>
  <c r="AA36" i="1"/>
  <c r="AC36" i="1" s="1"/>
  <c r="AA23" i="1"/>
  <c r="AC23" i="1" s="1"/>
  <c r="AA71" i="1"/>
  <c r="AC71" i="1" s="1"/>
  <c r="AA104" i="1"/>
  <c r="AA30" i="1"/>
  <c r="AC30" i="1" s="1"/>
  <c r="AA62" i="1"/>
  <c r="AC62" i="1" s="1"/>
  <c r="AA114" i="1"/>
  <c r="AC114" i="1" s="1"/>
  <c r="AA49" i="1"/>
  <c r="AC49" i="1" s="1"/>
  <c r="AA109" i="1"/>
  <c r="AC109" i="1" s="1"/>
  <c r="AA56" i="1"/>
  <c r="AC56" i="1" s="1"/>
  <c r="AA111" i="1"/>
  <c r="AC111" i="1" s="1"/>
  <c r="AA50" i="1"/>
  <c r="AC50" i="1" s="1"/>
  <c r="AA79" i="1"/>
  <c r="AC79" i="1" s="1"/>
  <c r="AA112" i="1"/>
  <c r="AC112" i="1" s="1"/>
  <c r="AA44" i="1"/>
  <c r="AC44" i="1" s="1"/>
  <c r="AA76" i="1"/>
  <c r="AC76" i="1" s="1"/>
  <c r="AA61" i="1"/>
  <c r="AC61" i="1" s="1"/>
  <c r="AA72" i="1"/>
  <c r="AC72" i="1" s="1"/>
  <c r="AA47" i="1"/>
  <c r="AC47" i="1" s="1"/>
  <c r="AA45" i="1"/>
  <c r="AC45" i="1" s="1"/>
  <c r="AA64" i="1"/>
  <c r="AC64" i="1" s="1"/>
  <c r="AA40" i="1"/>
  <c r="AC40" i="1" s="1"/>
  <c r="AA13" i="1"/>
  <c r="AA59" i="1"/>
  <c r="AC59" i="1" s="1"/>
  <c r="AA35" i="1"/>
  <c r="AC35" i="1" s="1"/>
  <c r="AA67" i="1"/>
  <c r="AC67" i="1" s="1"/>
  <c r="AA81" i="1"/>
  <c r="AC81" i="1" s="1"/>
  <c r="AA38" i="1"/>
  <c r="AC38" i="1" s="1"/>
  <c r="AA70" i="1"/>
  <c r="AC70" i="1" s="1"/>
  <c r="AA25" i="1"/>
  <c r="AC25" i="1" s="1"/>
  <c r="AA57" i="1"/>
  <c r="AC57" i="1" s="1"/>
  <c r="AA117" i="1"/>
  <c r="AC117" i="1" s="1"/>
  <c r="AA105" i="1"/>
  <c r="AC105" i="1" s="1"/>
  <c r="AA26" i="1"/>
  <c r="AC26" i="1" s="1"/>
  <c r="AA58" i="1"/>
  <c r="AC58" i="1" s="1"/>
  <c r="AA106" i="1"/>
  <c r="AC106" i="1" s="1"/>
  <c r="AA20" i="1"/>
  <c r="AC20" i="1" s="1"/>
  <c r="AA52" i="1"/>
  <c r="AC52" i="1" s="1"/>
  <c r="AA116" i="1"/>
  <c r="AC116" i="1" s="1"/>
  <c r="AA107" i="1"/>
  <c r="AC107" i="1" s="1"/>
  <c r="AA48" i="1"/>
  <c r="AC48" i="1" s="1"/>
  <c r="AA37" i="1"/>
  <c r="AC37" i="1" s="1"/>
  <c r="AA77" i="1"/>
  <c r="AC77" i="1" s="1"/>
  <c r="AA63" i="1"/>
  <c r="AC63" i="1" s="1"/>
  <c r="AA53" i="1"/>
  <c r="AC53" i="1" s="1"/>
  <c r="AA19" i="1"/>
  <c r="AC19" i="1" s="1"/>
  <c r="AA115" i="1"/>
  <c r="AC115" i="1" s="1"/>
  <c r="AA54" i="1"/>
  <c r="AC54" i="1" s="1"/>
  <c r="AA41" i="1"/>
  <c r="AC41" i="1" s="1"/>
  <c r="AA24" i="1"/>
  <c r="AC24" i="1" s="1"/>
  <c r="AA42" i="1"/>
  <c r="AC42" i="1" s="1"/>
  <c r="AA78" i="1"/>
  <c r="AC78" i="1" s="1"/>
  <c r="AA68" i="1"/>
  <c r="AC68" i="1" s="1"/>
  <c r="AA29" i="1"/>
  <c r="AC29" i="1" s="1"/>
  <c r="AA118" i="1"/>
  <c r="AC118" i="1" s="1"/>
  <c r="AA21" i="1"/>
  <c r="AC21" i="1" s="1"/>
  <c r="AA39" i="1"/>
  <c r="AC39" i="1" s="1"/>
  <c r="AA27" i="1"/>
  <c r="AC27" i="1" s="1"/>
  <c r="AA43" i="1"/>
  <c r="AC43" i="1" s="1"/>
  <c r="AA75" i="1"/>
  <c r="AC75" i="1" s="1"/>
  <c r="AA46" i="1"/>
  <c r="AC46" i="1" s="1"/>
  <c r="AA103" i="1"/>
  <c r="AC103" i="1" s="1"/>
  <c r="AA33" i="1"/>
  <c r="AC33" i="1" s="1"/>
  <c r="AA65" i="1"/>
  <c r="AC65" i="1" s="1"/>
  <c r="AA110" i="1"/>
  <c r="AC110" i="1" s="1"/>
  <c r="AA84" i="1"/>
  <c r="AC84" i="1" s="1"/>
  <c r="AA34" i="1"/>
  <c r="AC34" i="1" s="1"/>
  <c r="AA66" i="1"/>
  <c r="AC66" i="1" s="1"/>
  <c r="AA83" i="1"/>
  <c r="AC83" i="1" s="1"/>
  <c r="AA28" i="1"/>
  <c r="AC28" i="1" s="1"/>
  <c r="AA60" i="1"/>
  <c r="AC60" i="1" s="1"/>
  <c r="AA80" i="1"/>
  <c r="AC80" i="1" s="1"/>
  <c r="AA102" i="1"/>
  <c r="AA82" i="1"/>
  <c r="AC82" i="1" s="1"/>
  <c r="AA69" i="1"/>
  <c r="AC69" i="1" s="1"/>
  <c r="AA32" i="1"/>
  <c r="AC32" i="1" s="1"/>
  <c r="AA31" i="1"/>
  <c r="AC31" i="1" s="1"/>
  <c r="AA55" i="1"/>
  <c r="AC55" i="1" s="1"/>
  <c r="AC104" i="1" l="1"/>
  <c r="AC102" i="1"/>
  <c r="AC119" i="1" s="1"/>
  <c r="AA119" i="1"/>
  <c r="E44" i="2"/>
  <c r="AC13" i="1"/>
  <c r="AC91" i="1" s="1"/>
  <c r="AC121" i="1" s="1"/>
  <c r="AA91" i="1"/>
  <c r="AA121" i="1" s="1"/>
  <c r="W91" i="1"/>
  <c r="W96" i="1" s="1"/>
  <c r="W10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Suresh De Alwis</author>
  </authors>
  <commentList>
    <comment ref="B5" authorId="0" shapeId="0" xr:uid="{59C83A82-C4C0-4981-A204-BD8F9F5C4B0A}">
      <text>
        <r>
          <rPr>
            <b/>
            <sz val="12"/>
            <color indexed="81"/>
            <rFont val="Tahoma"/>
            <family val="2"/>
          </rPr>
          <t>Please select your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Margaret Oliso</author>
  </authors>
  <commentList>
    <comment ref="Z1" authorId="0" shapeId="0" xr:uid="{12562B70-AB95-4BDE-95FC-E1EBF1E0497F}">
      <text>
        <r>
          <rPr>
            <b/>
            <sz val="9"/>
            <color indexed="81"/>
            <rFont val="Tahoma"/>
            <family val="2"/>
          </rPr>
          <t>Margaret Oliso:</t>
        </r>
        <r>
          <rPr>
            <sz val="9"/>
            <color indexed="81"/>
            <rFont val="Tahoma"/>
            <family val="2"/>
          </rPr>
          <t xml:space="preserve">
P1-P11 only - to be updated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Margaret Oliso</author>
  </authors>
  <commentList>
    <comment ref="P1" authorId="0" shapeId="0" xr:uid="{212E1A3D-337D-468B-92E4-270A0545C8CE}">
      <text>
        <r>
          <rPr>
            <b/>
            <sz val="9"/>
            <color indexed="81"/>
            <rFont val="Tahoma"/>
            <family val="2"/>
          </rPr>
          <t>Margaret Oliso:</t>
        </r>
        <r>
          <rPr>
            <sz val="9"/>
            <color indexed="81"/>
            <rFont val="Tahoma"/>
            <family val="2"/>
          </rPr>
          <t xml:space="preserve">
P1-P11 only - to be updated </t>
        </r>
      </text>
    </comment>
  </commentList>
</comments>
</file>

<file path=xl/sharedStrings.xml><?xml version="1.0" encoding="utf-8"?>
<sst xmlns="http://schemas.openxmlformats.org/spreadsheetml/2006/main" count="676" uniqueCount="406">
  <si>
    <t>CFR CODES</t>
  </si>
  <si>
    <t>I01</t>
  </si>
  <si>
    <t>I02</t>
  </si>
  <si>
    <t>School Name</t>
  </si>
  <si>
    <t>Ark Byron Primary Academy</t>
  </si>
  <si>
    <t>Belvue</t>
  </si>
  <si>
    <t>Castlebar</t>
  </si>
  <si>
    <t>Grove House</t>
  </si>
  <si>
    <t>John Chilton</t>
  </si>
  <si>
    <t>Mandeville</t>
  </si>
  <si>
    <t>Maples</t>
  </si>
  <si>
    <t>Springhallow</t>
  </si>
  <si>
    <t>St Ann's</t>
  </si>
  <si>
    <t>Woodlands Academy</t>
  </si>
  <si>
    <t>Greenfields</t>
  </si>
  <si>
    <t>Grand Total</t>
  </si>
  <si>
    <t>I03</t>
  </si>
  <si>
    <t>I05</t>
  </si>
  <si>
    <t>I06</t>
  </si>
  <si>
    <t>CI01</t>
  </si>
  <si>
    <t>CFR</t>
  </si>
  <si>
    <t>GRAND TOTAL</t>
  </si>
  <si>
    <t>TOTAL</t>
  </si>
  <si>
    <t>DfE No.</t>
  </si>
  <si>
    <t>TOTAL
£</t>
  </si>
  <si>
    <t>Funds delegated by the local authority (LA)</t>
  </si>
  <si>
    <t>Funding for sixth form students</t>
  </si>
  <si>
    <t>High needs top-up funding</t>
  </si>
  <si>
    <t>Funding for minority ethnic pupils</t>
  </si>
  <si>
    <t>Pupil premium</t>
  </si>
  <si>
    <t>Other government grants</t>
  </si>
  <si>
    <t>Capital income</t>
  </si>
  <si>
    <t>I18</t>
  </si>
  <si>
    <t>I04</t>
  </si>
  <si>
    <t>Additional grant for schools</t>
  </si>
  <si>
    <t>High Needs Block - Top Ups Specialist Ealing Only</t>
  </si>
  <si>
    <t xml:space="preserve">Early Years Block - High Needs and Inclusion </t>
  </si>
  <si>
    <t>Early Years Block - 2, 3 &amp; 4 Year Old Funding</t>
  </si>
  <si>
    <t>Ark Acton Academy</t>
  </si>
  <si>
    <t>LEDGER CODES</t>
  </si>
  <si>
    <t>SCHOOL BUDGET, BASELINE AND GRANTS ALL TO BE RECORDED AS CASH</t>
  </si>
  <si>
    <t>GRANT TOTAL</t>
  </si>
  <si>
    <t>April</t>
  </si>
  <si>
    <t>Apr</t>
  </si>
  <si>
    <t>LEDGER CODE</t>
  </si>
  <si>
    <t>PROFILE</t>
  </si>
  <si>
    <t>Twelths</t>
  </si>
  <si>
    <t>May - 2/12ths
Jun-Mar Equal 12ths</t>
  </si>
  <si>
    <t>Equal 11ths Excluding Aug</t>
  </si>
  <si>
    <t>De-delegation</t>
  </si>
  <si>
    <t>Education functions for maintained schools</t>
  </si>
  <si>
    <t>TOTAL SCHOOL BLOCK FUNDING</t>
  </si>
  <si>
    <t xml:space="preserve">Early Years Block - 
 High Needs and Inclusion </t>
  </si>
  <si>
    <t>Schools Block - Post MFG &amp; Education Functions</t>
  </si>
  <si>
    <t>Holy Family Catholic Primary School</t>
  </si>
  <si>
    <t>Berrymede Junior School</t>
  </si>
  <si>
    <t>Berrymede Infant School</t>
  </si>
  <si>
    <t>East Acton Primary School</t>
  </si>
  <si>
    <t>Oldfield Primary School</t>
  </si>
  <si>
    <t>North Ealing Primary School</t>
  </si>
  <si>
    <t>St John's Primary School</t>
  </si>
  <si>
    <t>St Mark's Primary School</t>
  </si>
  <si>
    <t>West Twyford Primary School</t>
  </si>
  <si>
    <t>West Acton Primary School</t>
  </si>
  <si>
    <t>Mayfield Primary School</t>
  </si>
  <si>
    <t>Beaconsfield Primary and Nursery School</t>
  </si>
  <si>
    <t>Coston Primary School</t>
  </si>
  <si>
    <t>Downe Manor Primary School</t>
  </si>
  <si>
    <t>Drayton Green Primary School</t>
  </si>
  <si>
    <t>North Primary School</t>
  </si>
  <si>
    <t>Ravenor Primary School</t>
  </si>
  <si>
    <t>Selborne Primary School</t>
  </si>
  <si>
    <t>Hambrough Primary School</t>
  </si>
  <si>
    <t>Hobbayne Primary School</t>
  </si>
  <si>
    <t>John Perryn Primary School</t>
  </si>
  <si>
    <t>Southfield Primary School</t>
  </si>
  <si>
    <t>Allenby Primary School</t>
  </si>
  <si>
    <t>Blair Peach Primary School</t>
  </si>
  <si>
    <t>Clifton Primary School</t>
  </si>
  <si>
    <t>Dairy Meadow Primary School</t>
  </si>
  <si>
    <t>Derwentwater Primary School</t>
  </si>
  <si>
    <t>Durdans Park Primary School</t>
  </si>
  <si>
    <t>Fielding Primary School</t>
  </si>
  <si>
    <t>Gifford Primary School</t>
  </si>
  <si>
    <t>Greenwood Primary School</t>
  </si>
  <si>
    <t>Havelock Primary School and Nursery</t>
  </si>
  <si>
    <t>Horsenden Primary School</t>
  </si>
  <si>
    <t>Willow Tree Primary School</t>
  </si>
  <si>
    <t>Lady Margaret Primary School</t>
  </si>
  <si>
    <t>Little Ealing Primary School</t>
  </si>
  <si>
    <t>Oaklands Primary School</t>
  </si>
  <si>
    <t>Perivale Primary School</t>
  </si>
  <si>
    <t>Stanhope Primary School</t>
  </si>
  <si>
    <t>Viking Primary School</t>
  </si>
  <si>
    <t>Wolf Fields Primary School</t>
  </si>
  <si>
    <t>Featherstone Primary and Nursery School</t>
  </si>
  <si>
    <t>Three Bridges Primary School</t>
  </si>
  <si>
    <t>Montpelier Primary School</t>
  </si>
  <si>
    <t>Tudor Primary School</t>
  </si>
  <si>
    <t>Vicar's Green Primary School</t>
  </si>
  <si>
    <t>Grange Primary School</t>
  </si>
  <si>
    <t>Mount Carmel Catholic Primary School</t>
  </si>
  <si>
    <t>Our Lady of the Visitation Catholic Primary School</t>
  </si>
  <si>
    <t>St John Fisher Catholic Primary School</t>
  </si>
  <si>
    <t>St Anselm's Catholic Primary School</t>
  </si>
  <si>
    <t>St Gregory's Catholic Primary School</t>
  </si>
  <si>
    <t>St Joseph's Catholic Primary School</t>
  </si>
  <si>
    <t>St Raphael's Catholic Primary School</t>
  </si>
  <si>
    <t>St Vincent's Catholic Primary School</t>
  </si>
  <si>
    <t>Edward Betham Church of England Primary School</t>
  </si>
  <si>
    <t>Petts Hill Primary School</t>
  </si>
  <si>
    <t>Khalsa Primary School</t>
  </si>
  <si>
    <t>Christ the Saviour Church of England Primary School</t>
  </si>
  <si>
    <t>Villiers High School</t>
  </si>
  <si>
    <t>Elthorne Park High School</t>
  </si>
  <si>
    <t>The Cardinal Wiseman Catholic School</t>
  </si>
  <si>
    <t>Brentside High School</t>
  </si>
  <si>
    <t>Greenford High School</t>
  </si>
  <si>
    <t>The Ellen Wilkinson School for Girls</t>
  </si>
  <si>
    <t>Northolt High School</t>
  </si>
  <si>
    <t>ESFA 6th Form Funding</t>
  </si>
  <si>
    <t>ESFA Discretionary Bursary Funding</t>
  </si>
  <si>
    <t>ESFA ADV Maths Premium</t>
  </si>
  <si>
    <t xml:space="preserve">Universal Infant Free School Meals </t>
  </si>
  <si>
    <t>De-Delegation Costs</t>
  </si>
  <si>
    <t>Monthly Funding/Grant</t>
  </si>
  <si>
    <t>Other Funding/Grant</t>
  </si>
  <si>
    <t>Ark Priory Primary Academy</t>
  </si>
  <si>
    <t>St Mary's Church of England Primary Norwood Green</t>
  </si>
  <si>
    <t>Dormers Wells Junior School</t>
  </si>
  <si>
    <t>Dormers Wells Infant School</t>
  </si>
  <si>
    <t>Brentside Primary School</t>
  </si>
  <si>
    <t>William Perkin Church of England High School</t>
  </si>
  <si>
    <t>Ealing Fields High School</t>
  </si>
  <si>
    <t>Ada Lovelace Church of England High School</t>
  </si>
  <si>
    <t>Dormers Wells High School</t>
  </si>
  <si>
    <t>Featherstone High School</t>
  </si>
  <si>
    <t>Twyford Church of England High School</t>
  </si>
  <si>
    <t>Drayton Manor High School</t>
  </si>
  <si>
    <t>Alec Reed Academy</t>
  </si>
  <si>
    <t>21-22 Post MFG per pupil Budget</t>
  </si>
  <si>
    <t>SACC</t>
  </si>
  <si>
    <t>High Needs Block -
 Place Led  Baseline Funding Indicative</t>
  </si>
  <si>
    <t>Total Advances</t>
  </si>
  <si>
    <t>TBC</t>
  </si>
  <si>
    <t>INDICATIVE FIGURES</t>
  </si>
  <si>
    <t>Links to Grant funding guidance:</t>
  </si>
  <si>
    <t>https://www.gov.uk/government/publications/pupil-premium/pupil-premium</t>
  </si>
  <si>
    <t>6th Form Funding</t>
  </si>
  <si>
    <r>
      <rPr>
        <b/>
        <sz val="10"/>
        <rFont val="Arial"/>
        <family val="2"/>
      </rPr>
      <t xml:space="preserve">Note : </t>
    </r>
    <r>
      <rPr>
        <sz val="10"/>
        <rFont val="Arial"/>
        <family val="2"/>
      </rPr>
      <t xml:space="preserve">
All indicative figures will be updated as and when the information becomes available with Schools being notified of the new allocations.
All payments need to be recorded as </t>
    </r>
    <r>
      <rPr>
        <b/>
        <sz val="10"/>
        <rFont val="Arial"/>
        <family val="2"/>
      </rPr>
      <t>INCOME, only Capital DFC HPCF, Loans &amp; Repayments of Loans to be "fund to bank journals.</t>
    </r>
    <r>
      <rPr>
        <sz val="10"/>
        <rFont val="Arial"/>
        <family val="2"/>
      </rPr>
      <t xml:space="preserve"> Ledger codes are include in the table above for you.</t>
    </r>
  </si>
  <si>
    <t>INDICATIVE Schools Summary Allocations 2022-23</t>
  </si>
  <si>
    <t>Schools Block -  Schools ISB Funding Formula</t>
  </si>
  <si>
    <t>High Needs Block -
 Place Led  Baseline Funding</t>
  </si>
  <si>
    <t>Total advance</t>
  </si>
  <si>
    <t>High Needs Block - 
Top Ups  Mainstream Ealing Only</t>
  </si>
  <si>
    <t>High Needs Block - 
Top Ups Specialist Ealing Only</t>
  </si>
  <si>
    <t>ARPs (High Needs)</t>
  </si>
  <si>
    <t>Early Years Block -
2, 3 &amp; 4 Year Old Funding</t>
  </si>
  <si>
    <t>2021-22 Schools Block - 
Growth Funding</t>
  </si>
  <si>
    <t>EFA 6th Form (2021/22 FY) - Core Programme Funding, Condition of Funding Adjustment &amp; High Value Courses Premium</t>
  </si>
  <si>
    <t>Discretionary Bursary Funding (2021/22 FY year)</t>
  </si>
  <si>
    <t>ADV Maths Premium (2021/22 FY)</t>
  </si>
  <si>
    <t>PE &amp; Sport 21/22 FY</t>
  </si>
  <si>
    <t>UIFSM 21/22</t>
  </si>
  <si>
    <t>Senior Mental Health Leads Training 21-22</t>
  </si>
  <si>
    <t>Summer Schools Funding 21-22</t>
  </si>
  <si>
    <t>COVID-19 
Catch-up Premium Summer 2021</t>
  </si>
  <si>
    <t>16-19 Vulnerable Bursary Funding (2021/22 FY year)</t>
  </si>
  <si>
    <t>Teachers' Employer Pension Contribution</t>
  </si>
  <si>
    <t>Teachers' Pay</t>
  </si>
  <si>
    <t xml:space="preserve">COVID-19 
National Testing </t>
  </si>
  <si>
    <t>HMRC Job Retention Scheme (Furlough) Feb21-Sep21</t>
  </si>
  <si>
    <t xml:space="preserve">Digital Education Platform </t>
  </si>
  <si>
    <t xml:space="preserve">COVID-19 
School Workforce Fund </t>
  </si>
  <si>
    <t xml:space="preserve">COVID-19 
School Emergency Fund </t>
  </si>
  <si>
    <t xml:space="preserve">COVID-19 
Recovery Fund </t>
  </si>
  <si>
    <t>COVID-19 
FSM Additional Costs</t>
  </si>
  <si>
    <t>Apprenticeship Scheme</t>
  </si>
  <si>
    <t xml:space="preserve">NTP (National Tutoting Programme) 
School-Led Tutoring </t>
  </si>
  <si>
    <t xml:space="preserve">NTP (National Tutoring Programme) - Academic Mentors </t>
  </si>
  <si>
    <t xml:space="preserve">Devolved Capital </t>
  </si>
  <si>
    <t xml:space="preserve">Alec Reed Academy </t>
  </si>
  <si>
    <t xml:space="preserve">Allenby Primary </t>
  </si>
  <si>
    <t>Ark Primary Academy</t>
  </si>
  <si>
    <t>Ark Soane Academy</t>
  </si>
  <si>
    <t>Ada Lovelace CE High School</t>
  </si>
  <si>
    <t>Beaconsfield Primary</t>
  </si>
  <si>
    <t>Berrymede Infant</t>
  </si>
  <si>
    <t>Berrymede Junior</t>
  </si>
  <si>
    <t>Blair Peach Primary</t>
  </si>
  <si>
    <t>Brentside High</t>
  </si>
  <si>
    <t>Brentside Primary</t>
  </si>
  <si>
    <t>Cardinal Wiseman High</t>
  </si>
  <si>
    <t>Christ the Saviour Primary</t>
  </si>
  <si>
    <t>Clifton Primary</t>
  </si>
  <si>
    <t>Costons Primary</t>
  </si>
  <si>
    <t>Dairy Meadow Primary</t>
  </si>
  <si>
    <t>Derwentwater Primary</t>
  </si>
  <si>
    <t>Dormers Wells High</t>
  </si>
  <si>
    <t>Dormer's Wells Infant</t>
  </si>
  <si>
    <t>Dormer's Wells Junior</t>
  </si>
  <si>
    <t>Downe Manor Primary</t>
  </si>
  <si>
    <t>Drayton Green Primary</t>
  </si>
  <si>
    <t>Drayton Manor High</t>
  </si>
  <si>
    <t>Durdan's Park Primary</t>
  </si>
  <si>
    <t>Ealing Fields</t>
  </si>
  <si>
    <t>East Acton Primary</t>
  </si>
  <si>
    <t>Edward Betham Primary</t>
  </si>
  <si>
    <t>Ellen Wilkinson High</t>
  </si>
  <si>
    <t>Elthorne Park High</t>
  </si>
  <si>
    <t>Featherstone High</t>
  </si>
  <si>
    <t>Featherstone Primary</t>
  </si>
  <si>
    <t>Fielding Primary</t>
  </si>
  <si>
    <t>Gifford Primary</t>
  </si>
  <si>
    <t>Grange Primary</t>
  </si>
  <si>
    <t>Greenford High</t>
  </si>
  <si>
    <t>Greenwood Primary</t>
  </si>
  <si>
    <t>Hambrough Primary</t>
  </si>
  <si>
    <t>Havelock Primary</t>
  </si>
  <si>
    <t>Hobbayne Primary</t>
  </si>
  <si>
    <t>Holy Family Primary School</t>
  </si>
  <si>
    <t>Horsenden Primary</t>
  </si>
  <si>
    <t>John Perryn Primary</t>
  </si>
  <si>
    <t>Lady Margaret Primary</t>
  </si>
  <si>
    <t>Little Ealing Primary</t>
  </si>
  <si>
    <t>Mayfield Primary</t>
  </si>
  <si>
    <t>Montpelier Primary</t>
  </si>
  <si>
    <t>Mount Carmel Primary</t>
  </si>
  <si>
    <t>Khalsa Prim School</t>
  </si>
  <si>
    <t>North Ealing Primary</t>
  </si>
  <si>
    <t>North Primary</t>
  </si>
  <si>
    <t>Northolt High</t>
  </si>
  <si>
    <t>Oaklands Primary</t>
  </si>
  <si>
    <t>Oldfields Primary</t>
  </si>
  <si>
    <t>OLOV Primary</t>
  </si>
  <si>
    <t>Perivale Primary</t>
  </si>
  <si>
    <t>Petts Hill Primary</t>
  </si>
  <si>
    <t>Ravenor Primary</t>
  </si>
  <si>
    <t>Selborne Primary</t>
  </si>
  <si>
    <t>Southfield Primary</t>
  </si>
  <si>
    <t>St Anselm's Primary</t>
  </si>
  <si>
    <t>St Gregory's Primary</t>
  </si>
  <si>
    <t>St John Fisher Primary</t>
  </si>
  <si>
    <t>St John's Primary</t>
  </si>
  <si>
    <t>St Joseph's Primary</t>
  </si>
  <si>
    <t>St Mark's Primary</t>
  </si>
  <si>
    <t>St Mary's C of E Primary school</t>
  </si>
  <si>
    <t>St Raphael's Primary</t>
  </si>
  <si>
    <t>St Vincent's Primary</t>
  </si>
  <si>
    <t>Stanhope Primary</t>
  </si>
  <si>
    <t>Three Bridges Primary</t>
  </si>
  <si>
    <t>Tudor Primary</t>
  </si>
  <si>
    <t>Twyford High</t>
  </si>
  <si>
    <t>Vicar's Green Primary</t>
  </si>
  <si>
    <t>Viking Primary</t>
  </si>
  <si>
    <t>Villiers High</t>
  </si>
  <si>
    <t>West Acton Primary</t>
  </si>
  <si>
    <t>West Twyford Primary</t>
  </si>
  <si>
    <t>William Perkin High</t>
  </si>
  <si>
    <t>Willow Tree Primary</t>
  </si>
  <si>
    <t>Wolf Fields Primary</t>
  </si>
  <si>
    <t>Wood End Infant</t>
  </si>
  <si>
    <t>Wood End Junior</t>
  </si>
  <si>
    <t>Ealing Primary Centre</t>
  </si>
  <si>
    <t>PRU/Ealing Alternative Provision</t>
  </si>
  <si>
    <r>
      <t xml:space="preserve">Pupil Premium Grant 2021/22 (Deprivation, Post-LAC &amp; Service Child only - </t>
    </r>
    <r>
      <rPr>
        <b/>
        <sz val="11"/>
        <color rgb="FFFF0000"/>
        <rFont val="Arial"/>
        <family val="2"/>
      </rPr>
      <t>excludes LAC Premium</t>
    </r>
    <r>
      <rPr>
        <b/>
        <sz val="11"/>
        <rFont val="Arial"/>
        <family val="2"/>
      </rPr>
      <t>)</t>
    </r>
  </si>
  <si>
    <t>TOTAL 
2022-23</t>
  </si>
  <si>
    <t xml:space="preserve">PE &amp; Sports Grant </t>
  </si>
  <si>
    <t>16-19 Vulnerable Bursary Funding</t>
  </si>
  <si>
    <t>Pupil Premium Grant</t>
  </si>
  <si>
    <t>Pupil Premium 2022-23</t>
  </si>
  <si>
    <t>Allenby Primary</t>
  </si>
  <si>
    <t>Coston Primary</t>
  </si>
  <si>
    <t>St John’s Primary</t>
  </si>
  <si>
    <t>Elthorne Park HIgh</t>
  </si>
  <si>
    <t>High Needs Block - Place Lead  Baseline Funding (Indicative 2022-23)</t>
  </si>
  <si>
    <t>High Needs Mainstream Ealing Only -Top Ups (2021/22 Forecasts)</t>
  </si>
  <si>
    <t>Wood End Primary School</t>
  </si>
  <si>
    <t xml:space="preserve">Belvue - interim </t>
  </si>
  <si>
    <t xml:space="preserve">A - Pre 16 </t>
  </si>
  <si>
    <t>B - Pre 16</t>
  </si>
  <si>
    <t>C - Pre 16</t>
  </si>
  <si>
    <t xml:space="preserve">Post 16 </t>
  </si>
  <si>
    <t xml:space="preserve"> A</t>
  </si>
  <si>
    <t xml:space="preserve"> B</t>
  </si>
  <si>
    <t xml:space="preserve"> C</t>
  </si>
  <si>
    <t xml:space="preserve">Mandeville </t>
  </si>
  <si>
    <t xml:space="preserve"> A - Pre 16 </t>
  </si>
  <si>
    <t xml:space="preserve"> 6th Form A</t>
  </si>
  <si>
    <t xml:space="preserve"> 6th Form B</t>
  </si>
  <si>
    <t>St Ann's - interim</t>
  </si>
  <si>
    <t>A</t>
  </si>
  <si>
    <t>B</t>
  </si>
  <si>
    <t>C</t>
  </si>
  <si>
    <t xml:space="preserve">School </t>
  </si>
  <si>
    <t>DfE Number</t>
  </si>
  <si>
    <t xml:space="preserve">Band </t>
  </si>
  <si>
    <t>Number April</t>
  </si>
  <si>
    <t>Numbers June</t>
  </si>
  <si>
    <t>Number Sept</t>
  </si>
  <si>
    <t>Number Jan</t>
  </si>
  <si>
    <t>Revised top up amount</t>
  </si>
  <si>
    <t>Total top up - if all places taken by Ealing students</t>
  </si>
  <si>
    <t>CORRECT FUNDING PER KP 22/03/22</t>
  </si>
  <si>
    <t>PRU High</t>
  </si>
  <si>
    <t>PRU Primary  - EPC</t>
  </si>
  <si>
    <t>School Supplementary Grant</t>
  </si>
  <si>
    <t>Teachers' pay</t>
  </si>
  <si>
    <t>101]</t>
  </si>
  <si>
    <t>Full Budget</t>
  </si>
  <si>
    <t>URN</t>
  </si>
  <si>
    <t>LAESTAB</t>
  </si>
  <si>
    <t>22-23 Post MFG Budget</t>
  </si>
  <si>
    <t>22-23 NFF NNDR allocation</t>
  </si>
  <si>
    <t>Post De-delegation and Education functions budget after deduction of 22-23 NFF NNDR allocation</t>
  </si>
  <si>
    <t>22-23 Post MFG Budget Less NNDR</t>
  </si>
  <si>
    <t>Total DD</t>
  </si>
  <si>
    <t>Total Education Functions</t>
  </si>
  <si>
    <t>Net Schools Funding</t>
  </si>
  <si>
    <t>Total</t>
  </si>
  <si>
    <t>The Edward Betham Church of England Primary School</t>
  </si>
  <si>
    <t>RECOUPMENT</t>
  </si>
  <si>
    <t>Recoupment</t>
  </si>
  <si>
    <t>Grant as per ESFA</t>
  </si>
  <si>
    <t>Maintained allocations plus Growth</t>
  </si>
  <si>
    <t>Difference</t>
  </si>
  <si>
    <t>APT RETURN</t>
  </si>
  <si>
    <t>DSG schools block
(i)</t>
  </si>
  <si>
    <t>Grant</t>
  </si>
  <si>
    <t>22-23 NFF funded NNDR
(ib)</t>
  </si>
  <si>
    <t>DSG schools block after deduction of 22-23 NFF funded NNDR
(ic)
(ia - ib)</t>
  </si>
  <si>
    <t>Balance</t>
  </si>
  <si>
    <t>Transfers out of the SB
(entries will be deducted from the DSG SB)</t>
  </si>
  <si>
    <t>Transfer</t>
  </si>
  <si>
    <t>To CSSB
(iia)</t>
  </si>
  <si>
    <t>Growth</t>
  </si>
  <si>
    <t>To EY
(iib)</t>
  </si>
  <si>
    <t>Reserve</t>
  </si>
  <si>
    <t>To HN
(iic)</t>
  </si>
  <si>
    <t>Available</t>
  </si>
  <si>
    <t>Other funding adjustments
(entries will be added to the DSG SB allocation)</t>
  </si>
  <si>
    <t>Reserves</t>
  </si>
  <si>
    <t>ISB</t>
  </si>
  <si>
    <t>Total SB funding available (excluding 22-23 NFF NNDR allocation)
(iv)
( = ic - ii + iii )</t>
  </si>
  <si>
    <t>De-del</t>
  </si>
  <si>
    <t>ED Func</t>
  </si>
  <si>
    <t>Schools ISB</t>
  </si>
  <si>
    <t>Details</t>
  </si>
  <si>
    <t>Amount</t>
  </si>
  <si>
    <t>SB funding allocated to schools
(va)</t>
  </si>
  <si>
    <t>Post MFG</t>
  </si>
  <si>
    <t>22-23 NFF NNDR
(vb)</t>
  </si>
  <si>
    <t>Growth fund
(vc)</t>
  </si>
  <si>
    <t>Falling rolls fund
(vd)</t>
  </si>
  <si>
    <t>Total funding allocated through the SB
(v)
( = va - vb + vc + vd )</t>
  </si>
  <si>
    <t>Difference between funding allocated and the available funding
(vi)
( = v - iv )</t>
  </si>
  <si>
    <t>Difference between amount allocated and the DSG SB allocation
(vi)
( = v - ic )</t>
  </si>
  <si>
    <t>Early Years Block - 
 High Needs and Inclusion (2021-22 FY)</t>
  </si>
  <si>
    <t>Early Years Block -
2, 3 &amp; 4 Year Old Funding (2021/22 FY)</t>
  </si>
  <si>
    <t>UIFSM 21/22 FY</t>
  </si>
  <si>
    <t>School Supplementry Grant 2022/23</t>
  </si>
  <si>
    <t>Schools supplementary grant 2022 to 2023 - GOV.UK (www.gov.uk)</t>
  </si>
  <si>
    <t>16 to 19 funding: information for 2021 to 2022 - GOV.UK (www.gov.uk)</t>
  </si>
  <si>
    <t>tbc</t>
  </si>
  <si>
    <t>(NNDR has been removed from the ISB allocations, this charge is now</t>
  </si>
  <si>
    <t>paid direct by the ESFA to the LA).</t>
  </si>
  <si>
    <t>School Supplementary Grant (indicative Estimate)</t>
  </si>
  <si>
    <t>High Needs Block - 
Top Ups Specialist Ealing Only (Indicative total top up funding based on 22/23 revised rates/ places)</t>
  </si>
  <si>
    <t>High Needs Block - 
Top Ups  (Indicative based on 21/22)</t>
  </si>
  <si>
    <t>ARPs (High Needs) Top Ups (Indicative total top up funding based on 22/23 revised rates/ places)</t>
  </si>
  <si>
    <t>Teacher pension and teacher pay – again need to say what those estimates are based on so something like - 2021/22 grant for mainstream &amp; 2022/23 indicative allocation for special schools/PRU</t>
  </si>
  <si>
    <t>You have the same figure in both teacher pay and teacher pension columns for the PRU – that needs to be corrected</t>
  </si>
  <si>
    <t>You’ve still got no pupil premium against the PRUs – they will have got a grant last year so this figure should be used.</t>
  </si>
  <si>
    <t>DEVOLVED CAP-MAPLES NURSERY</t>
  </si>
  <si>
    <t>Stephen Bell</t>
  </si>
  <si>
    <t>DEVOLVED FORMULA CAPITAL-ALLENBY INFANT &amp; NURSERY</t>
  </si>
  <si>
    <t>DEVOLVED FORMULA CAPITAL-BERRYMEDE INFANT</t>
  </si>
  <si>
    <t>DEVOLVED FORMULA CAPITAL-DAIRY MEADOW PRIMARY</t>
  </si>
  <si>
    <t>DEVOLVED FORMULA CAPITAL-DURDAN´S PARK PRIMARY</t>
  </si>
  <si>
    <t>DEVOLVED FORMULA CAPITAL-GIFFORD PRIMARY</t>
  </si>
  <si>
    <t>DEVOLVED FORMULA CAPITAL-GRANGE PRIMARY</t>
  </si>
  <si>
    <t>DEVOLVED FORMULA CAPITAL-HORSENDEN PRIMARY</t>
  </si>
  <si>
    <t>DEVOLVED FORMULA CAPITAL-THREE BRIDGES PRIMARY</t>
  </si>
  <si>
    <t>DEVOLVED FORMULA CAPITAL-TUDOR PRIMARY</t>
  </si>
  <si>
    <t>DEVOLVED FORMULA CAPITAL-WEST TWYFORD PRIMARY</t>
  </si>
  <si>
    <t>HOBBAYNE PRIMARY SCHOOL DEVOLVED CAPITAL</t>
  </si>
  <si>
    <t>DEVOLVED FORMULA CAPITAL-LADY MARGARET PRIMARY</t>
  </si>
  <si>
    <t>DEVOLVED FORMULA CAPITAL-OAKLANDS PRIMARY</t>
  </si>
  <si>
    <t>DEVOLVED FORMULA CAPITAL-SELBORNE PRIMARY</t>
  </si>
  <si>
    <t>DEVOLVED FORMULA CAPITAL-ELTHORNE HIGH</t>
  </si>
  <si>
    <t>DEVOLVED FORMULA CAPITAL-GREENFORD HIGH</t>
  </si>
  <si>
    <t>DEVOLVED FORMULA CAPITAL-VIKING PRIMARY</t>
  </si>
  <si>
    <t>DEVOLVED FORMULA CAPITAL-GREENWOOD PRIMARY</t>
  </si>
  <si>
    <t>DEVOLVED FORMULA CAPITAL-MAYFIELD PRIMARY</t>
  </si>
  <si>
    <t>DEVOLVED FORMULA CAPITAL-NORTH EALING PRIMARY</t>
  </si>
  <si>
    <t>DEVOLVED FORMULA CAPITAL-RAVENOR PRIMARY</t>
  </si>
  <si>
    <t>DEVOLVED FORMULA CAPITAL-CASTLEBAR SPECIAL</t>
  </si>
  <si>
    <t>DEVOLVED FORMULA CAPITAL-ST ANN´S SPECIAL</t>
  </si>
  <si>
    <t>DEVOLVED FORMULA CAPITAL-NORTHOLT HIGH</t>
  </si>
  <si>
    <t>DEVOLVED FORMULA CAPITAL-ST MARK´S PRIMARY</t>
  </si>
  <si>
    <t>378030</t>
  </si>
  <si>
    <t>INDICATIVE NUMBERS BASED ON 2021-22 GRANT ALLOCATIONS UNLESS DETAILED BELOW- UPDATES WILL BE MADE ON A TERMLY BASIS.</t>
  </si>
  <si>
    <t>Teachers' pay (Mainstream based on 21/22 numbers - Special Schools &amp; Prus 2022/23 Indicative allocations)</t>
  </si>
  <si>
    <t>Teachers' Employer Pension Contribution (Mainstream based on 21/22 numbers - Special Schools &amp; Prus 2022/23 Indicative allocations)</t>
  </si>
  <si>
    <t>HN's Additional Resourced Provisions</t>
  </si>
  <si>
    <t>May/October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</si>
</sst>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&quot;£&quot;#,##0"/>
    <numFmt numFmtId="167" formatCode="_(&quot;£&quot;* #,##0.00_);_(&quot;£&quot;* \(#,##0.00\);_(&quot;£&quot;* &quot;-&quot;??_);_(@_)"/>
    <numFmt numFmtId="168" formatCode="&quot; &quot;[$£-809]#,##0.00&quot; &quot;;&quot;-&quot;[$£-809]#,##0.00&quot; &quot;;&quot; &quot;[$£-809]&quot;-&quot;00&quot; &quot;;&quot; &quot;@&quot; &quot;"/>
    <numFmt numFmtId="169" formatCode="&quot; &quot;#,##0.00&quot; &quot;;&quot;-&quot;#,##0.00&quot; &quot;;&quot; -&quot;00&quot; &quot;;&quot; &quot;@&quot; &quot;"/>
    <numFmt numFmtId="170" formatCode="&quot;£&quot;#,##0.00"/>
    <numFmt numFmtId="171" formatCode="#,##0.000_ ;[Red]\-#,##0.000\ "/>
    <numFmt numFmtId="172" formatCode="#,##0.00_ ;[Red]\-#,##0.00\ "/>
    <numFmt numFmtId="17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indexed="81"/>
      <name val="Tahoma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medium">
        <color indexed="64"/>
      </right>
      <top style="thin">
        <color rgb="FF969696"/>
      </top>
      <bottom style="thin">
        <color rgb="FF969696"/>
      </bottom>
      <diagonal/>
    </border>
    <border>
      <left/>
      <right style="medium">
        <color indexed="64"/>
      </right>
      <top style="thin">
        <color rgb="FF969696"/>
      </top>
      <bottom style="thin">
        <color rgb="FF969696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5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>
      <alignment vertical="top"/>
    </xf>
    <xf numFmtId="0" fontId="23" fillId="0" borderId="0"/>
    <xf numFmtId="43" fontId="24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</cellStyleXfs>
  <cellXfs count="307">
    <xf numFmtId="0" fontId="0" fillId="0" borderId="0" xfId="0"/>
    <xf numFmtId="0" fontId="7" fillId="2" borderId="0" xfId="5" applyFont="1" applyFill="1" applyProtection="1">
      <protection locked="0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7" fillId="9" borderId="4" xfId="3" applyNumberFormat="1" applyFont="1" applyFill="1" applyBorder="1" applyAlignment="1" applyProtection="1">
      <alignment horizontal="left"/>
    </xf>
    <xf numFmtId="1" fontId="11" fillId="9" borderId="4" xfId="0" applyNumberFormat="1" applyFont="1" applyFill="1" applyBorder="1" applyAlignment="1" applyProtection="1">
      <alignment horizontal="left"/>
    </xf>
    <xf numFmtId="166" fontId="6" fillId="11" borderId="1" xfId="4" applyNumberFormat="1" applyFont="1" applyFill="1" applyBorder="1" applyAlignment="1" applyProtection="1">
      <alignment horizontal="right" vertical="center" wrapText="1"/>
    </xf>
    <xf numFmtId="166" fontId="6" fillId="7" borderId="1" xfId="4" applyNumberFormat="1" applyFont="1" applyFill="1" applyBorder="1" applyAlignment="1" applyProtection="1">
      <alignment horizontal="right" vertical="center" wrapText="1"/>
    </xf>
    <xf numFmtId="166" fontId="6" fillId="11" borderId="1" xfId="4" applyNumberFormat="1" applyFont="1" applyFill="1" applyBorder="1" applyAlignment="1" applyProtection="1">
      <alignment horizontal="right" vertical="center"/>
    </xf>
    <xf numFmtId="0" fontId="2" fillId="0" borderId="0" xfId="5" applyFont="1" applyProtection="1"/>
    <xf numFmtId="164" fontId="12" fillId="0" borderId="0" xfId="5" applyNumberFormat="1" applyFont="1" applyFill="1" applyBorder="1" applyAlignment="1" applyProtection="1"/>
    <xf numFmtId="0" fontId="7" fillId="0" borderId="0" xfId="5" applyFont="1" applyAlignment="1" applyProtection="1">
      <alignment horizontal="left" indent="1"/>
    </xf>
    <xf numFmtId="0" fontId="2" fillId="0" borderId="0" xfId="5" applyFont="1" applyAlignment="1" applyProtection="1">
      <alignment horizontal="center"/>
    </xf>
    <xf numFmtId="0" fontId="7" fillId="0" borderId="0" xfId="5" applyFont="1" applyAlignment="1" applyProtection="1">
      <alignment horizontal="left"/>
    </xf>
    <xf numFmtId="0" fontId="7" fillId="0" borderId="0" xfId="5" applyFont="1" applyProtection="1"/>
    <xf numFmtId="0" fontId="4" fillId="0" borderId="12" xfId="5" applyFont="1" applyBorder="1" applyAlignment="1" applyProtection="1">
      <alignment horizontal="center" vertical="center" wrapText="1"/>
    </xf>
    <xf numFmtId="0" fontId="4" fillId="0" borderId="14" xfId="5" applyFont="1" applyBorder="1" applyAlignment="1" applyProtection="1">
      <alignment horizontal="center" vertical="center" wrapText="1"/>
    </xf>
    <xf numFmtId="0" fontId="4" fillId="0" borderId="0" xfId="5" applyFont="1" applyProtection="1"/>
    <xf numFmtId="3" fontId="2" fillId="0" borderId="9" xfId="5" applyNumberFormat="1" applyFont="1" applyBorder="1" applyProtection="1"/>
    <xf numFmtId="3" fontId="2" fillId="0" borderId="0" xfId="5" applyNumberFormat="1" applyFont="1" applyProtection="1"/>
    <xf numFmtId="3" fontId="2" fillId="0" borderId="5" xfId="5" applyNumberFormat="1" applyFont="1" applyBorder="1" applyProtection="1"/>
    <xf numFmtId="3" fontId="2" fillId="0" borderId="6" xfId="5" applyNumberFormat="1" applyFont="1" applyBorder="1" applyProtection="1"/>
    <xf numFmtId="3" fontId="4" fillId="0" borderId="14" xfId="5" applyNumberFormat="1" applyFont="1" applyBorder="1" applyProtection="1"/>
    <xf numFmtId="0" fontId="2" fillId="0" borderId="0" xfId="5" applyFont="1" applyAlignment="1" applyProtection="1"/>
    <xf numFmtId="3" fontId="2" fillId="0" borderId="7" xfId="5" applyNumberFormat="1" applyFont="1" applyBorder="1" applyProtection="1"/>
    <xf numFmtId="164" fontId="8" fillId="0" borderId="0" xfId="0" applyNumberFormat="1" applyFont="1" applyFill="1" applyBorder="1" applyProtection="1"/>
    <xf numFmtId="0" fontId="0" fillId="0" borderId="0" xfId="0" applyProtection="1"/>
    <xf numFmtId="0" fontId="0" fillId="0" borderId="0" xfId="0" applyFill="1" applyBorder="1" applyProtection="1"/>
    <xf numFmtId="164" fontId="9" fillId="0" borderId="0" xfId="1" applyNumberFormat="1" applyFont="1" applyProtection="1"/>
    <xf numFmtId="164" fontId="0" fillId="0" borderId="0" xfId="1" applyNumberFormat="1" applyFont="1" applyProtection="1"/>
    <xf numFmtId="164" fontId="2" fillId="0" borderId="0" xfId="0" applyNumberFormat="1" applyFont="1" applyBorder="1" applyProtection="1"/>
    <xf numFmtId="164" fontId="2" fillId="0" borderId="0" xfId="1" applyNumberFormat="1" applyFont="1" applyBorder="1" applyProtection="1"/>
    <xf numFmtId="0" fontId="2" fillId="0" borderId="0" xfId="0" applyFont="1" applyProtection="1"/>
    <xf numFmtId="0" fontId="4" fillId="0" borderId="0" xfId="0" applyFont="1" applyProtection="1"/>
    <xf numFmtId="164" fontId="9" fillId="7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165" fontId="9" fillId="0" borderId="0" xfId="1" applyNumberFormat="1" applyFont="1" applyProtection="1"/>
    <xf numFmtId="165" fontId="6" fillId="5" borderId="1" xfId="1" applyNumberFormat="1" applyFont="1" applyFill="1" applyBorder="1" applyAlignment="1" applyProtection="1">
      <alignment horizontal="center" vertical="center" wrapText="1"/>
    </xf>
    <xf numFmtId="164" fontId="9" fillId="7" borderId="2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right"/>
    </xf>
    <xf numFmtId="0" fontId="16" fillId="0" borderId="0" xfId="0" applyFont="1" applyProtection="1"/>
    <xf numFmtId="0" fontId="16" fillId="0" borderId="0" xfId="0" applyFont="1" applyFill="1" applyBorder="1" applyProtection="1"/>
    <xf numFmtId="164" fontId="10" fillId="0" borderId="0" xfId="1" applyNumberFormat="1" applyFont="1" applyProtection="1"/>
    <xf numFmtId="164" fontId="16" fillId="0" borderId="0" xfId="1" applyNumberFormat="1" applyFont="1" applyBorder="1" applyProtection="1"/>
    <xf numFmtId="0" fontId="16" fillId="0" borderId="0" xfId="0" applyFont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0" fillId="0" borderId="0" xfId="0" applyAlignment="1" applyProtection="1"/>
    <xf numFmtId="3" fontId="6" fillId="5" borderId="1" xfId="3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Protection="1"/>
    <xf numFmtId="165" fontId="2" fillId="0" borderId="0" xfId="1" applyNumberFormat="1" applyFont="1" applyProtection="1"/>
    <xf numFmtId="165" fontId="0" fillId="0" borderId="0" xfId="1" applyNumberFormat="1" applyFont="1" applyProtection="1"/>
    <xf numFmtId="165" fontId="2" fillId="0" borderId="0" xfId="1" quotePrefix="1" applyNumberFormat="1" applyFont="1" applyProtection="1"/>
    <xf numFmtId="0" fontId="14" fillId="0" borderId="0" xfId="2" applyFont="1" applyFill="1" applyBorder="1" applyAlignment="1" applyProtection="1">
      <alignment horizontal="center" wrapText="1"/>
    </xf>
    <xf numFmtId="164" fontId="10" fillId="0" borderId="0" xfId="1" applyNumberFormat="1" applyFont="1" applyFill="1" applyBorder="1" applyProtection="1"/>
    <xf numFmtId="164" fontId="14" fillId="0" borderId="0" xfId="1" applyNumberFormat="1" applyFont="1" applyFill="1" applyBorder="1" applyAlignment="1" applyProtection="1">
      <alignment horizontal="center" wrapText="1"/>
    </xf>
    <xf numFmtId="0" fontId="2" fillId="0" borderId="16" xfId="5" applyFont="1" applyBorder="1" applyAlignment="1" applyProtection="1">
      <alignment horizontal="center"/>
    </xf>
    <xf numFmtId="0" fontId="2" fillId="0" borderId="17" xfId="5" applyFont="1" applyBorder="1" applyAlignment="1" applyProtection="1">
      <alignment horizontal="center"/>
    </xf>
    <xf numFmtId="0" fontId="4" fillId="0" borderId="15" xfId="5" applyFont="1" applyBorder="1" applyAlignment="1" applyProtection="1">
      <alignment horizontal="center"/>
    </xf>
    <xf numFmtId="0" fontId="4" fillId="0" borderId="15" xfId="5" applyFont="1" applyBorder="1" applyAlignment="1" applyProtection="1">
      <alignment horizontal="center" vertical="center" wrapText="1"/>
    </xf>
    <xf numFmtId="3" fontId="2" fillId="0" borderId="8" xfId="5" applyNumberFormat="1" applyFont="1" applyBorder="1" applyProtection="1"/>
    <xf numFmtId="3" fontId="2" fillId="0" borderId="11" xfId="5" applyNumberFormat="1" applyFont="1" applyBorder="1" applyProtection="1"/>
    <xf numFmtId="166" fontId="6" fillId="12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1" fillId="0" borderId="0" xfId="0" applyFont="1" applyProtection="1"/>
    <xf numFmtId="0" fontId="2" fillId="0" borderId="17" xfId="5" applyFont="1" applyFill="1" applyBorder="1" applyAlignment="1" applyProtection="1">
      <alignment horizontal="center"/>
    </xf>
    <xf numFmtId="3" fontId="2" fillId="0" borderId="10" xfId="5" applyNumberFormat="1" applyFont="1" applyBorder="1" applyProtection="1"/>
    <xf numFmtId="0" fontId="2" fillId="0" borderId="0" xfId="5" applyFont="1" applyFill="1" applyBorder="1" applyProtection="1"/>
    <xf numFmtId="0" fontId="2" fillId="0" borderId="0" xfId="5" applyFont="1" applyFill="1" applyBorder="1" applyAlignment="1" applyProtection="1">
      <alignment horizontal="center"/>
    </xf>
    <xf numFmtId="0" fontId="14" fillId="0" borderId="0" xfId="5" applyFont="1" applyFill="1" applyBorder="1" applyAlignment="1" applyProtection="1"/>
    <xf numFmtId="0" fontId="4" fillId="0" borderId="0" xfId="5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center" vertical="center" wrapText="1"/>
    </xf>
    <xf numFmtId="0" fontId="2" fillId="0" borderId="0" xfId="5" applyFont="1" applyFill="1" applyBorder="1" applyAlignment="1" applyProtection="1"/>
    <xf numFmtId="1" fontId="14" fillId="0" borderId="0" xfId="1" applyNumberFormat="1" applyFont="1" applyBorder="1" applyAlignment="1" applyProtection="1">
      <alignment horizontal="center"/>
    </xf>
    <xf numFmtId="3" fontId="2" fillId="0" borderId="21" xfId="5" applyNumberFormat="1" applyFont="1" applyBorder="1" applyProtection="1"/>
    <xf numFmtId="3" fontId="2" fillId="3" borderId="23" xfId="5" applyNumberFormat="1" applyFont="1" applyFill="1" applyBorder="1" applyProtection="1"/>
    <xf numFmtId="3" fontId="2" fillId="0" borderId="23" xfId="5" applyNumberFormat="1" applyFont="1" applyBorder="1" applyProtection="1"/>
    <xf numFmtId="3" fontId="2" fillId="0" borderId="24" xfId="5" applyNumberFormat="1" applyFont="1" applyBorder="1" applyProtection="1"/>
    <xf numFmtId="0" fontId="2" fillId="3" borderId="21" xfId="5" applyFont="1" applyFill="1" applyBorder="1" applyProtection="1"/>
    <xf numFmtId="3" fontId="4" fillId="0" borderId="1" xfId="5" applyNumberFormat="1" applyFont="1" applyBorder="1" applyProtection="1"/>
    <xf numFmtId="0" fontId="4" fillId="0" borderId="1" xfId="5" applyFont="1" applyBorder="1" applyAlignment="1" applyProtection="1">
      <alignment horizontal="center" vertical="center" wrapText="1"/>
    </xf>
    <xf numFmtId="0" fontId="17" fillId="0" borderId="24" xfId="5" applyFont="1" applyBorder="1" applyAlignment="1" applyProtection="1">
      <alignment horizontal="center"/>
    </xf>
    <xf numFmtId="0" fontId="17" fillId="0" borderId="21" xfId="5" applyFont="1" applyBorder="1" applyAlignment="1" applyProtection="1">
      <alignment horizontal="center"/>
    </xf>
    <xf numFmtId="0" fontId="17" fillId="0" borderId="21" xfId="5" applyFont="1" applyBorder="1" applyAlignment="1" applyProtection="1">
      <alignment horizontal="center" wrapText="1"/>
    </xf>
    <xf numFmtId="0" fontId="4" fillId="0" borderId="1" xfId="5" applyFont="1" applyBorder="1" applyAlignment="1" applyProtection="1">
      <alignment horizontal="center"/>
    </xf>
    <xf numFmtId="3" fontId="2" fillId="0" borderId="25" xfId="5" applyNumberFormat="1" applyFont="1" applyBorder="1" applyProtection="1"/>
    <xf numFmtId="3" fontId="2" fillId="0" borderId="26" xfId="5" applyNumberFormat="1" applyFont="1" applyBorder="1" applyProtection="1"/>
    <xf numFmtId="3" fontId="4" fillId="0" borderId="13" xfId="5" applyNumberFormat="1" applyFont="1" applyBorder="1" applyProtection="1"/>
    <xf numFmtId="4" fontId="18" fillId="0" borderId="0" xfId="5" applyNumberFormat="1" applyFont="1" applyProtection="1"/>
    <xf numFmtId="4" fontId="19" fillId="0" borderId="0" xfId="5" applyNumberFormat="1" applyFont="1" applyProtection="1"/>
    <xf numFmtId="4" fontId="19" fillId="0" borderId="0" xfId="1" applyNumberFormat="1" applyFont="1" applyProtection="1"/>
    <xf numFmtId="0" fontId="21" fillId="0" borderId="0" xfId="0" applyFont="1" applyFill="1" applyBorder="1" applyProtection="1"/>
    <xf numFmtId="0" fontId="20" fillId="0" borderId="0" xfId="0" applyFont="1" applyProtection="1"/>
    <xf numFmtId="3" fontId="0" fillId="0" borderId="0" xfId="0" applyNumberFormat="1" applyProtection="1"/>
    <xf numFmtId="164" fontId="10" fillId="0" borderId="0" xfId="1" applyNumberFormat="1" applyFont="1" applyBorder="1" applyProtection="1"/>
    <xf numFmtId="17" fontId="4" fillId="0" borderId="12" xfId="5" applyNumberFormat="1" applyFont="1" applyBorder="1" applyAlignment="1" applyProtection="1">
      <alignment horizontal="center" vertical="center" wrapText="1"/>
    </xf>
    <xf numFmtId="0" fontId="6" fillId="0" borderId="0" xfId="5" applyFont="1" applyAlignment="1" applyProtection="1">
      <alignment horizontal="left" indent="1"/>
    </xf>
    <xf numFmtId="0" fontId="2" fillId="0" borderId="20" xfId="5" applyFont="1" applyBorder="1" applyAlignment="1" applyProtection="1">
      <alignment vertical="center"/>
    </xf>
    <xf numFmtId="0" fontId="2" fillId="0" borderId="35" xfId="5" applyFont="1" applyBorder="1" applyAlignment="1" applyProtection="1"/>
    <xf numFmtId="0" fontId="2" fillId="0" borderId="36" xfId="5" applyFont="1" applyBorder="1" applyAlignment="1" applyProtection="1"/>
    <xf numFmtId="0" fontId="4" fillId="0" borderId="20" xfId="5" applyFont="1" applyBorder="1" applyAlignment="1" applyProtection="1"/>
    <xf numFmtId="0" fontId="2" fillId="0" borderId="20" xfId="5" applyFont="1" applyBorder="1" applyAlignment="1" applyProtection="1"/>
    <xf numFmtId="0" fontId="2" fillId="0" borderId="37" xfId="5" applyFont="1" applyBorder="1" applyAlignment="1" applyProtection="1"/>
    <xf numFmtId="0" fontId="2" fillId="0" borderId="18" xfId="5" applyFont="1" applyBorder="1" applyAlignment="1" applyProtection="1"/>
    <xf numFmtId="0" fontId="4" fillId="0" borderId="4" xfId="5" applyFont="1" applyBorder="1" applyAlignment="1" applyProtection="1">
      <alignment horizontal="center" wrapText="1"/>
    </xf>
    <xf numFmtId="3" fontId="4" fillId="0" borderId="22" xfId="5" applyNumberFormat="1" applyFont="1" applyBorder="1" applyProtection="1"/>
    <xf numFmtId="3" fontId="4" fillId="0" borderId="23" xfId="5" applyNumberFormat="1" applyFont="1" applyBorder="1" applyProtection="1"/>
    <xf numFmtId="3" fontId="4" fillId="0" borderId="38" xfId="5" applyNumberFormat="1" applyFont="1" applyBorder="1" applyProtection="1"/>
    <xf numFmtId="3" fontId="4" fillId="0" borderId="39" xfId="5" applyNumberFormat="1" applyFont="1" applyBorder="1" applyProtection="1"/>
    <xf numFmtId="0" fontId="4" fillId="0" borderId="1" xfId="5" applyFont="1" applyBorder="1" applyAlignment="1" applyProtection="1">
      <alignment horizontal="center" vertical="center"/>
    </xf>
    <xf numFmtId="0" fontId="2" fillId="0" borderId="24" xfId="5" applyFont="1" applyBorder="1" applyAlignment="1" applyProtection="1">
      <alignment horizontal="center"/>
    </xf>
    <xf numFmtId="0" fontId="2" fillId="0" borderId="21" xfId="5" applyFont="1" applyFill="1" applyBorder="1" applyAlignment="1" applyProtection="1">
      <alignment horizontal="center"/>
    </xf>
    <xf numFmtId="0" fontId="2" fillId="0" borderId="21" xfId="5" applyFont="1" applyBorder="1" applyAlignment="1" applyProtection="1">
      <alignment horizontal="center"/>
    </xf>
    <xf numFmtId="0" fontId="4" fillId="0" borderId="20" xfId="5" applyFont="1" applyBorder="1" applyAlignment="1" applyProtection="1">
      <alignment horizontal="center" vertical="center"/>
    </xf>
    <xf numFmtId="0" fontId="4" fillId="0" borderId="4" xfId="5" applyFont="1" applyBorder="1" applyAlignment="1" applyProtection="1">
      <alignment horizontal="center" vertical="center" wrapText="1"/>
    </xf>
    <xf numFmtId="0" fontId="2" fillId="0" borderId="35" xfId="5" applyFont="1" applyBorder="1" applyAlignment="1" applyProtection="1">
      <alignment horizontal="center"/>
    </xf>
    <xf numFmtId="0" fontId="2" fillId="0" borderId="22" xfId="5" applyFont="1" applyBorder="1" applyAlignment="1" applyProtection="1">
      <alignment horizontal="center"/>
    </xf>
    <xf numFmtId="0" fontId="2" fillId="0" borderId="36" xfId="5" applyFont="1" applyBorder="1" applyAlignment="1" applyProtection="1">
      <alignment horizontal="center"/>
    </xf>
    <xf numFmtId="0" fontId="2" fillId="0" borderId="23" xfId="5" applyFont="1" applyBorder="1" applyAlignment="1" applyProtection="1">
      <alignment horizontal="center"/>
    </xf>
    <xf numFmtId="0" fontId="2" fillId="0" borderId="37" xfId="5" applyFont="1" applyBorder="1" applyAlignment="1" applyProtection="1">
      <alignment horizontal="center"/>
    </xf>
    <xf numFmtId="0" fontId="2" fillId="0" borderId="38" xfId="5" applyFont="1" applyBorder="1" applyAlignment="1" applyProtection="1">
      <alignment horizontal="center"/>
    </xf>
    <xf numFmtId="0" fontId="2" fillId="0" borderId="18" xfId="5" applyFont="1" applyBorder="1" applyAlignment="1" applyProtection="1">
      <alignment horizontal="center"/>
    </xf>
    <xf numFmtId="0" fontId="2" fillId="0" borderId="19" xfId="5" applyFont="1" applyBorder="1" applyAlignment="1" applyProtection="1">
      <alignment horizontal="center"/>
    </xf>
    <xf numFmtId="0" fontId="4" fillId="0" borderId="20" xfId="5" applyFont="1" applyBorder="1" applyAlignment="1" applyProtection="1">
      <alignment horizontal="center"/>
    </xf>
    <xf numFmtId="0" fontId="4" fillId="0" borderId="4" xfId="5" applyFont="1" applyBorder="1" applyAlignment="1" applyProtection="1">
      <alignment horizontal="center"/>
    </xf>
    <xf numFmtId="0" fontId="2" fillId="0" borderId="0" xfId="5" applyFont="1" applyAlignment="1" applyProtection="1">
      <alignment horizontal="center"/>
      <protection locked="0"/>
    </xf>
    <xf numFmtId="164" fontId="6" fillId="6" borderId="1" xfId="0" applyNumberFormat="1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left"/>
    </xf>
    <xf numFmtId="1" fontId="11" fillId="9" borderId="3" xfId="0" applyNumberFormat="1" applyFont="1" applyFill="1" applyBorder="1" applyAlignment="1">
      <alignment horizontal="left"/>
    </xf>
    <xf numFmtId="0" fontId="7" fillId="9" borderId="3" xfId="3" applyFont="1" applyFill="1" applyBorder="1" applyAlignment="1">
      <alignment horizontal="left"/>
    </xf>
    <xf numFmtId="1" fontId="11" fillId="9" borderId="4" xfId="0" applyNumberFormat="1" applyFont="1" applyFill="1" applyBorder="1" applyAlignment="1">
      <alignment horizontal="left"/>
    </xf>
    <xf numFmtId="164" fontId="6" fillId="13" borderId="1" xfId="0" applyNumberFormat="1" applyFont="1" applyFill="1" applyBorder="1" applyAlignment="1">
      <alignment horizontal="center" vertical="center" wrapText="1"/>
    </xf>
    <xf numFmtId="0" fontId="2" fillId="0" borderId="0" xfId="5"/>
    <xf numFmtId="0" fontId="2" fillId="0" borderId="0" xfId="5" applyAlignment="1">
      <alignment horizontal="center"/>
    </xf>
    <xf numFmtId="0" fontId="4" fillId="0" borderId="35" xfId="5" applyFont="1" applyBorder="1" applyAlignment="1" applyProtection="1"/>
    <xf numFmtId="0" fontId="4" fillId="0" borderId="0" xfId="5" applyFont="1" applyFill="1" applyBorder="1" applyAlignment="1" applyProtection="1"/>
    <xf numFmtId="0" fontId="6" fillId="5" borderId="1" xfId="3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left" vertical="center" wrapText="1"/>
    </xf>
    <xf numFmtId="3" fontId="6" fillId="5" borderId="1" xfId="3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4" fontId="4" fillId="14" borderId="1" xfId="0" applyNumberFormat="1" applyFont="1" applyFill="1" applyBorder="1" applyAlignment="1">
      <alignment horizontal="center" vertical="center" wrapText="1"/>
    </xf>
    <xf numFmtId="164" fontId="6" fillId="15" borderId="1" xfId="0" applyNumberFormat="1" applyFont="1" applyFill="1" applyBorder="1" applyAlignment="1">
      <alignment horizontal="center" vertical="center" wrapText="1"/>
    </xf>
    <xf numFmtId="164" fontId="6" fillId="16" borderId="31" xfId="0" applyNumberFormat="1" applyFont="1" applyFill="1" applyBorder="1" applyAlignment="1">
      <alignment horizontal="center" vertical="center" wrapText="1"/>
    </xf>
    <xf numFmtId="164" fontId="6" fillId="4" borderId="20" xfId="0" applyNumberFormat="1" applyFont="1" applyFill="1" applyBorder="1" applyAlignment="1">
      <alignment horizontal="center" vertical="center" wrapText="1"/>
    </xf>
    <xf numFmtId="164" fontId="6" fillId="10" borderId="1" xfId="0" applyNumberFormat="1" applyFont="1" applyFill="1" applyBorder="1" applyAlignment="1">
      <alignment horizontal="center" vertical="center" wrapText="1"/>
    </xf>
    <xf numFmtId="165" fontId="4" fillId="10" borderId="31" xfId="0" applyNumberFormat="1" applyFont="1" applyFill="1" applyBorder="1" applyAlignment="1">
      <alignment horizontal="center" vertical="center" wrapText="1"/>
    </xf>
    <xf numFmtId="165" fontId="6" fillId="17" borderId="31" xfId="0" applyNumberFormat="1" applyFont="1" applyFill="1" applyBorder="1" applyAlignment="1">
      <alignment horizontal="center" vertical="center" wrapText="1"/>
    </xf>
    <xf numFmtId="165" fontId="27" fillId="18" borderId="1" xfId="0" applyNumberFormat="1" applyFont="1" applyFill="1" applyBorder="1" applyAlignment="1">
      <alignment horizontal="center" vertical="center" wrapText="1"/>
    </xf>
    <xf numFmtId="166" fontId="7" fillId="9" borderId="3" xfId="3" applyNumberFormat="1" applyFont="1" applyFill="1" applyBorder="1"/>
    <xf numFmtId="166" fontId="6" fillId="9" borderId="3" xfId="3" applyNumberFormat="1" applyFont="1" applyFill="1" applyBorder="1"/>
    <xf numFmtId="166" fontId="7" fillId="7" borderId="2" xfId="3" applyNumberFormat="1" applyFont="1" applyFill="1" applyBorder="1" applyAlignment="1">
      <alignment horizontal="right"/>
    </xf>
    <xf numFmtId="166" fontId="7" fillId="10" borderId="3" xfId="3" applyNumberFormat="1" applyFont="1" applyFill="1" applyBorder="1" applyAlignment="1">
      <alignment horizontal="right"/>
    </xf>
    <xf numFmtId="166" fontId="7" fillId="10" borderId="2" xfId="3" applyNumberFormat="1" applyFont="1" applyFill="1" applyBorder="1" applyAlignment="1">
      <alignment horizontal="right"/>
    </xf>
    <xf numFmtId="166" fontId="7" fillId="13" borderId="2" xfId="3" applyNumberFormat="1" applyFont="1" applyFill="1" applyBorder="1" applyAlignment="1">
      <alignment horizontal="right"/>
    </xf>
    <xf numFmtId="5" fontId="7" fillId="13" borderId="2" xfId="3" applyNumberFormat="1" applyFont="1" applyFill="1" applyBorder="1" applyAlignment="1">
      <alignment horizontal="right"/>
    </xf>
    <xf numFmtId="166" fontId="27" fillId="19" borderId="2" xfId="3" applyNumberFormat="1" applyFont="1" applyFill="1" applyBorder="1" applyAlignment="1">
      <alignment horizontal="right"/>
    </xf>
    <xf numFmtId="166" fontId="7" fillId="7" borderId="1" xfId="3" applyNumberFormat="1" applyFont="1" applyFill="1" applyBorder="1" applyAlignment="1">
      <alignment horizontal="right"/>
    </xf>
    <xf numFmtId="5" fontId="6" fillId="12" borderId="1" xfId="4" applyNumberFormat="1" applyFont="1" applyFill="1" applyBorder="1" applyAlignment="1" applyProtection="1">
      <alignment horizontal="right" vertical="center" wrapText="1"/>
    </xf>
    <xf numFmtId="165" fontId="27" fillId="19" borderId="1" xfId="4" applyNumberFormat="1" applyFont="1" applyFill="1" applyBorder="1" applyAlignment="1" applyProtection="1">
      <alignment horizontal="right" vertical="center" wrapText="1"/>
    </xf>
    <xf numFmtId="38" fontId="7" fillId="9" borderId="4" xfId="1" applyNumberFormat="1" applyFont="1" applyFill="1" applyBorder="1" applyAlignment="1" applyProtection="1">
      <alignment horizontal="right"/>
    </xf>
    <xf numFmtId="38" fontId="7" fillId="9" borderId="4" xfId="3" applyNumberFormat="1" applyFont="1" applyFill="1" applyBorder="1" applyAlignment="1" applyProtection="1"/>
    <xf numFmtId="38" fontId="7" fillId="10" borderId="4" xfId="3" applyNumberFormat="1" applyFont="1" applyFill="1" applyBorder="1" applyAlignment="1" applyProtection="1"/>
    <xf numFmtId="38" fontId="6" fillId="9" borderId="4" xfId="3" applyNumberFormat="1" applyFont="1" applyFill="1" applyBorder="1" applyAlignment="1" applyProtection="1"/>
    <xf numFmtId="38" fontId="7" fillId="7" borderId="1" xfId="3" applyNumberFormat="1" applyFont="1" applyFill="1" applyBorder="1" applyAlignment="1" applyProtection="1">
      <alignment horizontal="right"/>
    </xf>
    <xf numFmtId="38" fontId="7" fillId="10" borderId="3" xfId="3" applyNumberFormat="1" applyFont="1" applyFill="1" applyBorder="1" applyAlignment="1" applyProtection="1">
      <alignment horizontal="right"/>
    </xf>
    <xf numFmtId="38" fontId="6" fillId="10" borderId="2" xfId="3" applyNumberFormat="1" applyFont="1" applyFill="1" applyBorder="1" applyAlignment="1" applyProtection="1">
      <alignment horizontal="right"/>
    </xf>
    <xf numFmtId="38" fontId="6" fillId="12" borderId="1" xfId="4" applyNumberFormat="1" applyFont="1" applyFill="1" applyBorder="1" applyAlignment="1" applyProtection="1">
      <alignment horizontal="right" vertical="center" wrapText="1"/>
    </xf>
    <xf numFmtId="38" fontId="6" fillId="13" borderId="1" xfId="4" applyNumberFormat="1" applyFont="1" applyFill="1" applyBorder="1" applyAlignment="1" applyProtection="1">
      <alignment horizontal="right" vertical="center" wrapText="1"/>
    </xf>
    <xf numFmtId="38" fontId="6" fillId="7" borderId="1" xfId="4" applyNumberFormat="1" applyFont="1" applyFill="1" applyBorder="1" applyAlignment="1" applyProtection="1">
      <alignment horizontal="right" vertical="center" wrapText="1"/>
    </xf>
    <xf numFmtId="38" fontId="6" fillId="11" borderId="1" xfId="4" applyNumberFormat="1" applyFont="1" applyFill="1" applyBorder="1" applyAlignment="1" applyProtection="1">
      <alignment horizontal="right" vertical="center" wrapText="1"/>
    </xf>
    <xf numFmtId="3" fontId="2" fillId="0" borderId="40" xfId="5" applyNumberFormat="1" applyFont="1" applyBorder="1" applyProtection="1"/>
    <xf numFmtId="3" fontId="2" fillId="0" borderId="41" xfId="5" applyNumberFormat="1" applyFont="1" applyBorder="1" applyProtection="1"/>
    <xf numFmtId="3" fontId="2" fillId="0" borderId="42" xfId="5" applyNumberFormat="1" applyFont="1" applyBorder="1" applyProtection="1"/>
    <xf numFmtId="3" fontId="2" fillId="0" borderId="43" xfId="5" applyNumberFormat="1" applyFont="1" applyBorder="1" applyProtection="1"/>
    <xf numFmtId="0" fontId="2" fillId="0" borderId="44" xfId="5" applyFont="1" applyBorder="1" applyAlignment="1" applyProtection="1"/>
    <xf numFmtId="0" fontId="2" fillId="0" borderId="45" xfId="5" applyFont="1" applyBorder="1" applyAlignment="1" applyProtection="1">
      <alignment horizontal="center"/>
    </xf>
    <xf numFmtId="0" fontId="2" fillId="0" borderId="46" xfId="5" applyFont="1" applyBorder="1" applyAlignment="1" applyProtection="1">
      <alignment horizontal="center"/>
    </xf>
    <xf numFmtId="0" fontId="17" fillId="0" borderId="45" xfId="5" applyFont="1" applyBorder="1" applyAlignment="1" applyProtection="1">
      <alignment horizontal="center"/>
    </xf>
    <xf numFmtId="3" fontId="2" fillId="0" borderId="45" xfId="5" applyNumberFormat="1" applyFont="1" applyBorder="1" applyProtection="1"/>
    <xf numFmtId="0" fontId="2" fillId="3" borderId="47" xfId="5" applyFont="1" applyFill="1" applyBorder="1" applyProtection="1"/>
    <xf numFmtId="0" fontId="2" fillId="0" borderId="48" xfId="5" applyFont="1" applyBorder="1" applyAlignment="1" applyProtection="1"/>
    <xf numFmtId="0" fontId="2" fillId="0" borderId="49" xfId="5" applyFont="1" applyFill="1" applyBorder="1" applyAlignment="1" applyProtection="1">
      <alignment horizontal="center"/>
    </xf>
    <xf numFmtId="0" fontId="2" fillId="0" borderId="50" xfId="5" applyFont="1" applyFill="1" applyBorder="1" applyAlignment="1" applyProtection="1">
      <alignment horizontal="center"/>
    </xf>
    <xf numFmtId="0" fontId="17" fillId="0" borderId="49" xfId="5" applyFont="1" applyBorder="1" applyAlignment="1" applyProtection="1">
      <alignment horizontal="center"/>
    </xf>
    <xf numFmtId="3" fontId="2" fillId="0" borderId="49" xfId="5" applyNumberFormat="1" applyFont="1" applyBorder="1" applyProtection="1"/>
    <xf numFmtId="3" fontId="2" fillId="3" borderId="51" xfId="5" applyNumberFormat="1" applyFont="1" applyFill="1" applyBorder="1" applyProtection="1"/>
    <xf numFmtId="0" fontId="10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30" fillId="21" borderId="1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 wrapText="1"/>
    </xf>
    <xf numFmtId="0" fontId="32" fillId="23" borderId="54" xfId="0" applyFont="1" applyFill="1" applyBorder="1" applyAlignment="1">
      <alignment horizontal="center" vertical="center"/>
    </xf>
    <xf numFmtId="166" fontId="31" fillId="23" borderId="54" xfId="0" applyNumberFormat="1" applyFont="1" applyFill="1" applyBorder="1" applyAlignment="1">
      <alignment horizontal="center" vertical="center"/>
    </xf>
    <xf numFmtId="0" fontId="32" fillId="23" borderId="55" xfId="0" applyFont="1" applyFill="1" applyBorder="1" applyAlignment="1">
      <alignment horizontal="center" vertical="center"/>
    </xf>
    <xf numFmtId="166" fontId="31" fillId="23" borderId="55" xfId="0" applyNumberFormat="1" applyFont="1" applyFill="1" applyBorder="1" applyAlignment="1">
      <alignment horizontal="center" vertical="center"/>
    </xf>
    <xf numFmtId="0" fontId="32" fillId="23" borderId="56" xfId="0" applyFont="1" applyFill="1" applyBorder="1" applyAlignment="1">
      <alignment horizontal="center" vertical="center"/>
    </xf>
    <xf numFmtId="166" fontId="31" fillId="23" borderId="56" xfId="0" applyNumberFormat="1" applyFont="1" applyFill="1" applyBorder="1" applyAlignment="1">
      <alignment horizontal="center" vertical="center"/>
    </xf>
    <xf numFmtId="0" fontId="32" fillId="24" borderId="54" xfId="0" applyFont="1" applyFill="1" applyBorder="1" applyAlignment="1">
      <alignment horizontal="center" vertical="center"/>
    </xf>
    <xf numFmtId="166" fontId="31" fillId="24" borderId="54" xfId="0" applyNumberFormat="1" applyFont="1" applyFill="1" applyBorder="1" applyAlignment="1">
      <alignment horizontal="center" vertical="center"/>
    </xf>
    <xf numFmtId="0" fontId="32" fillId="24" borderId="55" xfId="0" applyFont="1" applyFill="1" applyBorder="1" applyAlignment="1">
      <alignment horizontal="center" vertical="center"/>
    </xf>
    <xf numFmtId="166" fontId="31" fillId="24" borderId="55" xfId="0" applyNumberFormat="1" applyFont="1" applyFill="1" applyBorder="1" applyAlignment="1">
      <alignment horizontal="center" vertical="center"/>
    </xf>
    <xf numFmtId="0" fontId="32" fillId="24" borderId="56" xfId="0" applyFont="1" applyFill="1" applyBorder="1" applyAlignment="1">
      <alignment horizontal="center" vertical="center"/>
    </xf>
    <xf numFmtId="166" fontId="31" fillId="24" borderId="56" xfId="0" applyNumberFormat="1" applyFont="1" applyFill="1" applyBorder="1" applyAlignment="1">
      <alignment horizontal="center" vertical="center"/>
    </xf>
    <xf numFmtId="0" fontId="31" fillId="23" borderId="1" xfId="0" applyFont="1" applyFill="1" applyBorder="1" applyAlignment="1">
      <alignment horizontal="center" vertical="center"/>
    </xf>
    <xf numFmtId="0" fontId="32" fillId="23" borderId="1" xfId="0" applyFont="1" applyFill="1" applyBorder="1" applyAlignment="1">
      <alignment horizontal="center" vertical="center"/>
    </xf>
    <xf numFmtId="166" fontId="31" fillId="23" borderId="1" xfId="0" applyNumberFormat="1" applyFont="1" applyFill="1" applyBorder="1" applyAlignment="1">
      <alignment horizontal="center" vertical="center"/>
    </xf>
    <xf numFmtId="0" fontId="31" fillId="23" borderId="1" xfId="0" applyFont="1" applyFill="1" applyBorder="1" applyAlignment="1">
      <alignment horizontal="center" vertical="center"/>
    </xf>
    <xf numFmtId="166" fontId="31" fillId="23" borderId="1" xfId="0" applyNumberFormat="1" applyFont="1" applyFill="1" applyBorder="1" applyAlignment="1">
      <alignment horizontal="center" vertical="center"/>
    </xf>
    <xf numFmtId="0" fontId="32" fillId="19" borderId="1" xfId="0" applyFont="1" applyFill="1" applyBorder="1" applyAlignment="1">
      <alignment horizontal="center" vertical="center"/>
    </xf>
    <xf numFmtId="166" fontId="31" fillId="19" borderId="1" xfId="0" applyNumberFormat="1" applyFont="1" applyFill="1" applyBorder="1" applyAlignment="1">
      <alignment horizontal="center" vertical="center"/>
    </xf>
    <xf numFmtId="0" fontId="31" fillId="23" borderId="0" xfId="0" applyFont="1" applyFill="1" applyBorder="1" applyAlignment="1">
      <alignment horizontal="left" vertical="center"/>
    </xf>
    <xf numFmtId="3" fontId="0" fillId="0" borderId="0" xfId="1" applyNumberFormat="1" applyFont="1" applyProtection="1"/>
    <xf numFmtId="38" fontId="0" fillId="0" borderId="0" xfId="0" applyNumberFormat="1" applyProtection="1"/>
    <xf numFmtId="0" fontId="10" fillId="20" borderId="57" xfId="0" applyFont="1" applyFill="1" applyBorder="1"/>
    <xf numFmtId="0" fontId="10" fillId="0" borderId="0" xfId="0" applyFont="1" applyProtection="1"/>
    <xf numFmtId="38" fontId="14" fillId="10" borderId="3" xfId="3" applyNumberFormat="1" applyFont="1" applyFill="1" applyBorder="1" applyAlignment="1" applyProtection="1">
      <alignment horizontal="right"/>
    </xf>
    <xf numFmtId="164" fontId="6" fillId="20" borderId="1" xfId="0" applyNumberFormat="1" applyFont="1" applyFill="1" applyBorder="1" applyAlignment="1">
      <alignment horizontal="center" vertical="center" wrapText="1"/>
    </xf>
    <xf numFmtId="38" fontId="6" fillId="20" borderId="1" xfId="4" applyNumberFormat="1" applyFont="1" applyFill="1" applyBorder="1" applyAlignment="1" applyProtection="1">
      <alignment horizontal="right" vertical="center" wrapText="1"/>
    </xf>
    <xf numFmtId="0" fontId="2" fillId="0" borderId="0" xfId="5" applyFont="1" applyProtection="1"/>
    <xf numFmtId="0" fontId="0" fillId="0" borderId="0" xfId="0" applyProtection="1"/>
    <xf numFmtId="0" fontId="2" fillId="0" borderId="58" xfId="5" applyFont="1" applyBorder="1" applyAlignment="1" applyProtection="1">
      <alignment horizontal="center"/>
    </xf>
    <xf numFmtId="0" fontId="17" fillId="0" borderId="58" xfId="5" applyFont="1" applyBorder="1" applyAlignment="1" applyProtection="1">
      <alignment horizontal="center"/>
    </xf>
    <xf numFmtId="3" fontId="2" fillId="0" borderId="58" xfId="5" applyNumberFormat="1" applyFont="1" applyBorder="1" applyProtection="1"/>
    <xf numFmtId="170" fontId="0" fillId="0" borderId="0" xfId="0" applyNumberFormat="1"/>
    <xf numFmtId="170" fontId="0" fillId="0" borderId="0" xfId="0" applyNumberFormat="1" applyAlignment="1">
      <alignment horizontal="center"/>
    </xf>
    <xf numFmtId="0" fontId="11" fillId="2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34" fillId="11" borderId="1" xfId="0" applyNumberFormat="1" applyFont="1" applyFill="1" applyBorder="1" applyAlignment="1">
      <alignment horizontal="right" wrapText="1"/>
    </xf>
    <xf numFmtId="166" fontId="34" fillId="0" borderId="1" xfId="0" applyNumberFormat="1" applyFont="1" applyBorder="1" applyAlignment="1">
      <alignment horizontal="right"/>
    </xf>
    <xf numFmtId="8" fontId="0" fillId="0" borderId="0" xfId="0" applyNumberFormat="1"/>
    <xf numFmtId="1" fontId="11" fillId="9" borderId="1" xfId="0" applyNumberFormat="1" applyFont="1" applyFill="1" applyBorder="1" applyAlignment="1">
      <alignment horizontal="left"/>
    </xf>
    <xf numFmtId="0" fontId="11" fillId="9" borderId="1" xfId="0" applyFont="1" applyFill="1" applyBorder="1" applyAlignment="1">
      <alignment horizontal="left"/>
    </xf>
    <xf numFmtId="170" fontId="11" fillId="9" borderId="1" xfId="0" applyNumberFormat="1" applyFont="1" applyFill="1" applyBorder="1" applyAlignment="1">
      <alignment horizontal="right"/>
    </xf>
    <xf numFmtId="170" fontId="11" fillId="9" borderId="1" xfId="8" applyNumberFormat="1" applyFont="1" applyFill="1" applyBorder="1" applyAlignment="1">
      <alignment horizontal="right"/>
    </xf>
    <xf numFmtId="170" fontId="11" fillId="0" borderId="0" xfId="8" applyNumberFormat="1" applyFont="1" applyAlignment="1">
      <alignment horizontal="right"/>
    </xf>
    <xf numFmtId="0" fontId="11" fillId="9" borderId="0" xfId="0" applyFont="1" applyFill="1" applyAlignment="1">
      <alignment horizontal="left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35" fillId="0" borderId="0" xfId="0" applyFont="1"/>
    <xf numFmtId="40" fontId="0" fillId="0" borderId="0" xfId="0" applyNumberFormat="1" applyAlignment="1">
      <alignment horizontal="center"/>
    </xf>
    <xf numFmtId="0" fontId="0" fillId="0" borderId="60" xfId="0" applyBorder="1" applyAlignment="1">
      <alignment horizontal="center"/>
    </xf>
    <xf numFmtId="7" fontId="0" fillId="0" borderId="61" xfId="0" applyNumberFormat="1" applyBorder="1" applyAlignment="1">
      <alignment horizontal="center"/>
    </xf>
    <xf numFmtId="0" fontId="0" fillId="0" borderId="62" xfId="0" applyBorder="1" applyAlignment="1">
      <alignment horizontal="center"/>
    </xf>
    <xf numFmtId="7" fontId="0" fillId="0" borderId="63" xfId="0" applyNumberFormat="1" applyBorder="1" applyAlignment="1">
      <alignment horizontal="center"/>
    </xf>
    <xf numFmtId="40" fontId="0" fillId="20" borderId="0" xfId="0" applyNumberFormat="1" applyFill="1" applyAlignment="1">
      <alignment horizontal="center"/>
    </xf>
    <xf numFmtId="0" fontId="0" fillId="0" borderId="63" xfId="0" applyBorder="1" applyAlignment="1">
      <alignment horizontal="center"/>
    </xf>
    <xf numFmtId="40" fontId="9" fillId="0" borderId="0" xfId="0" applyNumberFormat="1" applyFont="1" applyAlignment="1">
      <alignment horizontal="center"/>
    </xf>
    <xf numFmtId="40" fontId="0" fillId="0" borderId="63" xfId="0" applyNumberFormat="1" applyBorder="1" applyAlignment="1">
      <alignment horizontal="center"/>
    </xf>
    <xf numFmtId="171" fontId="0" fillId="0" borderId="0" xfId="0" applyNumberFormat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40" fontId="0" fillId="12" borderId="0" xfId="0" applyNumberFormat="1" applyFill="1" applyAlignment="1">
      <alignment horizontal="center"/>
    </xf>
    <xf numFmtId="172" fontId="0" fillId="0" borderId="0" xfId="0" applyNumberFormat="1" applyAlignment="1">
      <alignment horizontal="center"/>
    </xf>
    <xf numFmtId="38" fontId="7" fillId="10" borderId="1" xfId="3" applyNumberFormat="1" applyFont="1" applyFill="1" applyBorder="1" applyAlignment="1" applyProtection="1">
      <alignment horizontal="right"/>
    </xf>
    <xf numFmtId="4" fontId="7" fillId="10" borderId="1" xfId="0" applyNumberFormat="1" applyFont="1" applyFill="1" applyBorder="1"/>
    <xf numFmtId="1" fontId="14" fillId="0" borderId="53" xfId="15" applyNumberFormat="1" applyFont="1" applyBorder="1" applyAlignment="1" applyProtection="1">
      <alignment horizontal="center"/>
    </xf>
    <xf numFmtId="0" fontId="14" fillId="0" borderId="0" xfId="10" applyFont="1" applyFill="1" applyBorder="1" applyAlignment="1" applyProtection="1">
      <alignment horizontal="center" wrapText="1"/>
    </xf>
    <xf numFmtId="0" fontId="33" fillId="0" borderId="0" xfId="9" applyFont="1"/>
    <xf numFmtId="3" fontId="2" fillId="3" borderId="9" xfId="5" applyNumberFormat="1" applyFont="1" applyFill="1" applyBorder="1" applyProtection="1"/>
    <xf numFmtId="3" fontId="2" fillId="0" borderId="66" xfId="5" applyNumberFormat="1" applyFont="1" applyBorder="1" applyProtection="1"/>
    <xf numFmtId="3" fontId="2" fillId="0" borderId="67" xfId="5" applyNumberFormat="1" applyFont="1" applyBorder="1" applyProtection="1"/>
    <xf numFmtId="3" fontId="2" fillId="0" borderId="68" xfId="5" applyNumberFormat="1" applyFont="1" applyBorder="1" applyProtection="1"/>
    <xf numFmtId="3" fontId="2" fillId="3" borderId="24" xfId="5" applyNumberFormat="1" applyFont="1" applyFill="1" applyBorder="1" applyProtection="1"/>
    <xf numFmtId="0" fontId="36" fillId="9" borderId="4" xfId="3" applyNumberFormat="1" applyFont="1" applyFill="1" applyBorder="1" applyAlignment="1" applyProtection="1">
      <alignment horizontal="left"/>
    </xf>
    <xf numFmtId="0" fontId="0" fillId="0" borderId="0" xfId="0" applyAlignment="1">
      <alignment horizontal="left" vertical="center" indent="1"/>
    </xf>
    <xf numFmtId="0" fontId="37" fillId="0" borderId="69" xfId="0" applyFont="1" applyBorder="1"/>
    <xf numFmtId="0" fontId="37" fillId="0" borderId="70" xfId="0" applyFont="1" applyBorder="1" applyAlignment="1">
      <alignment horizontal="left"/>
    </xf>
    <xf numFmtId="0" fontId="37" fillId="0" borderId="71" xfId="0" applyFont="1" applyBorder="1" applyAlignment="1">
      <alignment horizontal="right"/>
    </xf>
    <xf numFmtId="0" fontId="37" fillId="26" borderId="72" xfId="0" applyFont="1" applyFill="1" applyBorder="1" applyAlignment="1">
      <alignment horizontal="right"/>
    </xf>
    <xf numFmtId="4" fontId="37" fillId="26" borderId="72" xfId="0" applyNumberFormat="1" applyFont="1" applyFill="1" applyBorder="1" applyAlignment="1">
      <alignment horizontal="right"/>
    </xf>
    <xf numFmtId="4" fontId="37" fillId="26" borderId="0" xfId="0" quotePrefix="1" applyNumberFormat="1" applyFont="1" applyFill="1" applyBorder="1" applyAlignment="1">
      <alignment horizontal="right"/>
    </xf>
    <xf numFmtId="173" fontId="2" fillId="0" borderId="0" xfId="1" applyNumberFormat="1" applyFont="1" applyProtection="1"/>
    <xf numFmtId="0" fontId="2" fillId="0" borderId="59" xfId="5" applyFont="1" applyBorder="1" applyAlignment="1" applyProtection="1">
      <alignment horizontal="center"/>
    </xf>
    <xf numFmtId="0" fontId="2" fillId="10" borderId="27" xfId="5" applyFont="1" applyFill="1" applyBorder="1" applyAlignment="1" applyProtection="1">
      <alignment horizontal="left" vertical="top" wrapText="1"/>
    </xf>
    <xf numFmtId="0" fontId="2" fillId="10" borderId="28" xfId="5" applyFont="1" applyFill="1" applyBorder="1" applyAlignment="1" applyProtection="1">
      <alignment horizontal="left" vertical="top" wrapText="1"/>
    </xf>
    <xf numFmtId="0" fontId="2" fillId="10" borderId="29" xfId="5" applyFont="1" applyFill="1" applyBorder="1" applyAlignment="1" applyProtection="1">
      <alignment horizontal="left" vertical="top" wrapText="1"/>
    </xf>
    <xf numFmtId="0" fontId="2" fillId="10" borderId="30" xfId="5" applyFont="1" applyFill="1" applyBorder="1" applyAlignment="1" applyProtection="1">
      <alignment horizontal="left" vertical="top" wrapText="1"/>
    </xf>
    <xf numFmtId="0" fontId="2" fillId="10" borderId="1" xfId="5" applyFont="1" applyFill="1" applyBorder="1" applyAlignment="1" applyProtection="1">
      <alignment horizontal="left" vertical="top" wrapText="1"/>
    </xf>
    <xf numFmtId="0" fontId="2" fillId="10" borderId="31" xfId="5" applyFont="1" applyFill="1" applyBorder="1" applyAlignment="1" applyProtection="1">
      <alignment horizontal="left" vertical="top" wrapText="1"/>
    </xf>
    <xf numFmtId="0" fontId="2" fillId="10" borderId="32" xfId="5" applyFont="1" applyFill="1" applyBorder="1" applyAlignment="1" applyProtection="1">
      <alignment horizontal="left" vertical="top" wrapText="1"/>
    </xf>
    <xf numFmtId="0" fontId="2" fillId="10" borderId="33" xfId="5" applyFont="1" applyFill="1" applyBorder="1" applyAlignment="1" applyProtection="1">
      <alignment horizontal="left" vertical="top" wrapText="1"/>
    </xf>
    <xf numFmtId="0" fontId="2" fillId="10" borderId="34" xfId="5" applyFont="1" applyFill="1" applyBorder="1" applyAlignment="1" applyProtection="1">
      <alignment horizontal="left" vertical="top" wrapText="1"/>
    </xf>
    <xf numFmtId="164" fontId="15" fillId="0" borderId="1" xfId="1" applyNumberFormat="1" applyFont="1" applyBorder="1" applyAlignment="1" applyProtection="1">
      <alignment horizontal="center" wrapText="1"/>
    </xf>
    <xf numFmtId="0" fontId="15" fillId="0" borderId="1" xfId="0" applyFont="1" applyBorder="1" applyAlignment="1">
      <alignment horizontal="center" wrapText="1"/>
    </xf>
    <xf numFmtId="164" fontId="8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164" fontId="4" fillId="13" borderId="0" xfId="1" applyNumberFormat="1" applyFont="1" applyFill="1" applyAlignment="1" applyProtection="1">
      <alignment horizontal="center"/>
    </xf>
    <xf numFmtId="0" fontId="9" fillId="13" borderId="0" xfId="0" applyFont="1" applyFill="1" applyAlignment="1">
      <alignment horizontal="center"/>
    </xf>
    <xf numFmtId="0" fontId="34" fillId="11" borderId="20" xfId="0" applyFont="1" applyFill="1" applyBorder="1" applyAlignment="1">
      <alignment horizontal="left" wrapText="1"/>
    </xf>
    <xf numFmtId="0" fontId="34" fillId="11" borderId="15" xfId="0" applyFont="1" applyFill="1" applyBorder="1" applyAlignment="1">
      <alignment horizontal="left" wrapText="1"/>
    </xf>
    <xf numFmtId="0" fontId="34" fillId="11" borderId="4" xfId="0" applyFont="1" applyFill="1" applyBorder="1" applyAlignment="1">
      <alignment horizontal="left" wrapText="1"/>
    </xf>
    <xf numFmtId="0" fontId="31" fillId="24" borderId="1" xfId="0" applyFont="1" applyFill="1" applyBorder="1" applyAlignment="1">
      <alignment horizontal="center" vertical="center"/>
    </xf>
    <xf numFmtId="166" fontId="31" fillId="24" borderId="1" xfId="0" applyNumberFormat="1" applyFont="1" applyFill="1" applyBorder="1" applyAlignment="1">
      <alignment horizontal="center" vertical="center"/>
    </xf>
    <xf numFmtId="0" fontId="31" fillId="23" borderId="1" xfId="0" applyFont="1" applyFill="1" applyBorder="1" applyAlignment="1">
      <alignment horizontal="center" vertical="center"/>
    </xf>
    <xf numFmtId="166" fontId="31" fillId="23" borderId="1" xfId="0" applyNumberFormat="1" applyFont="1" applyFill="1" applyBorder="1" applyAlignment="1">
      <alignment horizontal="center" vertical="center"/>
    </xf>
    <xf numFmtId="0" fontId="30" fillId="22" borderId="52" xfId="0" applyFont="1" applyFill="1" applyBorder="1" applyAlignment="1">
      <alignment horizontal="center" vertical="center" wrapText="1"/>
    </xf>
    <xf numFmtId="0" fontId="30" fillId="22" borderId="53" xfId="0" applyFont="1" applyFill="1" applyBorder="1" applyAlignment="1">
      <alignment horizontal="center" vertical="center" wrapText="1"/>
    </xf>
    <xf numFmtId="0" fontId="31" fillId="23" borderId="1" xfId="0" applyFont="1" applyFill="1" applyBorder="1" applyAlignment="1">
      <alignment horizontal="center" vertical="center" wrapText="1"/>
    </xf>
    <xf numFmtId="166" fontId="31" fillId="23" borderId="1" xfId="0" applyNumberFormat="1" applyFont="1" applyFill="1" applyBorder="1" applyAlignment="1">
      <alignment horizontal="center" vertical="center" wrapText="1"/>
    </xf>
  </cellXfs>
  <cellStyles count="52">
    <cellStyle name="%" xfId="51" xr:uid="{B76DA531-90F5-438F-9BB1-12BF5A10D6FD}"/>
    <cellStyle name="Comma" xfId="1" builtinId="3"/>
    <cellStyle name="Comma 10" xfId="15" xr:uid="{09DCFEB5-3F55-41B6-8464-4F8A65B2CB2F}"/>
    <cellStyle name="Comma 16" xfId="17" xr:uid="{6B2DF285-1143-4788-8675-9EABD4C2525A}"/>
    <cellStyle name="Comma 2" xfId="12" xr:uid="{5382433C-5D8F-4778-A56B-DA0696545329}"/>
    <cellStyle name="Comma 2 2" xfId="45" xr:uid="{15AF42A7-54DC-4D14-BE5F-A57C543016A0}"/>
    <cellStyle name="Comma 2 3" xfId="27" xr:uid="{AECE3B2E-9617-422B-8414-218FA7749B83}"/>
    <cellStyle name="Comma 3" xfId="37" xr:uid="{90EC09E5-7FCC-48D5-AEE2-C170B8157DFD}"/>
    <cellStyle name="Comma 4" xfId="4" xr:uid="{00000000-0005-0000-0000-000001000000}"/>
    <cellStyle name="Comma 4 2" xfId="19" xr:uid="{CD2C7B6D-A7EE-4CCC-82C4-027E2E8BAF09}"/>
    <cellStyle name="Comma 4 2 2" xfId="36" xr:uid="{7B936033-03D1-4787-A870-E12EDA92A118}"/>
    <cellStyle name="Comma 4 2 3" xfId="40" xr:uid="{3FC8196D-D0D1-4D63-B8C8-3034B7D4CE25}"/>
    <cellStyle name="Comma 4 2 4" xfId="34" xr:uid="{89A48502-7AA2-4FF7-A8E1-FCD646429F34}"/>
    <cellStyle name="Comma 4 3" xfId="28" xr:uid="{55A150B6-36B1-4836-AC9E-88D57707E2E5}"/>
    <cellStyle name="Comma 4 4" xfId="26" xr:uid="{9D965A43-94C0-4C6C-B616-4FE6020D8F50}"/>
    <cellStyle name="Comma 4 5" xfId="16" xr:uid="{16AA14B8-B426-453C-BFEE-2C0DEC159C86}"/>
    <cellStyle name="Comma 5" xfId="43" xr:uid="{D15B2842-EFA0-4187-9BDF-3256FB78F201}"/>
    <cellStyle name="Comma 6" xfId="6" xr:uid="{80F29D76-240B-4789-902E-C2618D621ACB}"/>
    <cellStyle name="Comma 6 2" xfId="35" xr:uid="{961E262C-96DA-435A-86B6-A72E608774C3}"/>
    <cellStyle name="Comma 6 3" xfId="38" xr:uid="{26A7CE50-DBE6-48AD-8CAC-E3AEAEC88F14}"/>
    <cellStyle name="Comma 6 4" xfId="30" xr:uid="{7781A5E3-7705-44EE-8A68-E3C297FE52D8}"/>
    <cellStyle name="Comma 7" xfId="23" xr:uid="{5AAEFFEB-E3B1-4D50-9F5B-082F0AF3452D}"/>
    <cellStyle name="Comma 8" xfId="21" xr:uid="{4EBB650D-C00C-46AB-AAE4-F202FDF4EAEF}"/>
    <cellStyle name="Comma 9" xfId="49" xr:uid="{9BDBDD82-DD7F-4D3B-8E87-48A0CC3FE987}"/>
    <cellStyle name="Currency 2" xfId="42" xr:uid="{55C444E7-96DE-4661-90D5-853173C8F659}"/>
    <cellStyle name="Currency 3" xfId="7" xr:uid="{111D1E0A-E6F3-4300-9D7A-4F05936BED16}"/>
    <cellStyle name="Currency 3 2" xfId="41" xr:uid="{12DABA31-EF89-4F13-AF25-D6A339F6E4F2}"/>
    <cellStyle name="Currency 4" xfId="22" xr:uid="{125529EE-06F9-4D6E-8479-231CB6BB6F19}"/>
    <cellStyle name="Hyperlink" xfId="9" builtinId="8"/>
    <cellStyle name="Hyperlink 2" xfId="33" xr:uid="{D9361B8F-D425-4868-88FD-1FE1B3772058}"/>
    <cellStyle name="Hyperlink 3" xfId="50" xr:uid="{EC9AF5B6-EF1E-4D07-BB24-48084ABE1FB6}"/>
    <cellStyle name="Normal" xfId="0" builtinId="0"/>
    <cellStyle name="Normal 10 2" xfId="24" xr:uid="{D2EA94E5-14F5-406E-853D-18DFB2E0B2B5}"/>
    <cellStyle name="Normal 12" xfId="29" xr:uid="{E2E88409-786E-4A82-B995-A71CD5528ACA}"/>
    <cellStyle name="Normal 2" xfId="5" xr:uid="{00000000-0005-0000-0000-000003000000}"/>
    <cellStyle name="Normal 2 2" xfId="11" xr:uid="{B6D7134A-68E8-4B77-87EA-68CA7503D5C9}"/>
    <cellStyle name="Normal 2 3" xfId="25" xr:uid="{1C4082A2-817A-4ED8-AA09-1E319EDDC749}"/>
    <cellStyle name="Normal 2 3 3" xfId="2" xr:uid="{00000000-0005-0000-0000-000004000000}"/>
    <cellStyle name="Normal 2 3 3 2" xfId="10" xr:uid="{25737369-0010-4CF8-8563-4BF7763E6B96}"/>
    <cellStyle name="Normal 2 4" xfId="48" xr:uid="{67A18280-E6CB-4D08-BE60-815C283C8FF7}"/>
    <cellStyle name="Normal 2 5" xfId="44" xr:uid="{5B41D8B3-1075-4A16-9686-C5FACA416914}"/>
    <cellStyle name="Normal 3" xfId="13" xr:uid="{2978A1E4-0723-437D-82B0-D9647CD5201F}"/>
    <cellStyle name="Normal 3 2" xfId="14" xr:uid="{17FCE139-4593-4933-8C40-B52260BA7A2F}"/>
    <cellStyle name="Normal 4" xfId="20" xr:uid="{C89469AF-0852-4DA5-88C4-6A7F3A0A0E9E}"/>
    <cellStyle name="Normal 4 2" xfId="46" xr:uid="{5F5B8988-21DC-4DE1-B0F3-51846887875D}"/>
    <cellStyle name="Normal 5" xfId="3" xr:uid="{00000000-0005-0000-0000-000005000000}"/>
    <cellStyle name="Normal 5 2" xfId="18" xr:uid="{D231849C-E249-4550-BDFF-F563144C5BC2}"/>
    <cellStyle name="Normal 5 3" xfId="39" xr:uid="{3239AA07-8E75-4583-AD7A-2D5C699C895A}"/>
    <cellStyle name="Normal 6" xfId="47" xr:uid="{D6C9DA3A-CEF0-404C-8F89-5B288845039A}"/>
    <cellStyle name="Normal 6 2" xfId="31" xr:uid="{59D0BBDF-D214-4053-9CE9-A4B730DCB50E}"/>
    <cellStyle name="Normal 8 2" xfId="32" xr:uid="{8262E126-04D2-4E12-B840-0B38529362E8}"/>
    <cellStyle name="Percent 2" xfId="8" xr:uid="{A03F6F30-C299-4880-85B4-0F39186018E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lingcouncil.sharepoint.com/sites/SCHPLANNGSMT/Files/KPrice/Budgets%20and%20funding/Special%20ARP%20baselines%20and%20top%20ups/22-23/ARP%20top%20ups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funding 2022-23"/>
    </sheetNames>
    <sheetDataSet>
      <sheetData sheetId="0" refreshError="1">
        <row r="1">
          <cell r="C1" t="str">
            <v>LAESTAB</v>
          </cell>
          <cell r="D1" t="str">
            <v>School Name</v>
          </cell>
          <cell r="E1" t="str">
            <v>NOR (from Adjusted Factors column O)</v>
          </cell>
          <cell r="F1" t="str">
            <v>NOR Primary (from Adjusted Factors column P)</v>
          </cell>
          <cell r="G1" t="str">
            <v>NOR Secondary (from Adjusted Factors column S)</v>
          </cell>
          <cell r="H1" t="str">
            <v>Basic Entitlement (Primary)</v>
          </cell>
          <cell r="I1" t="str">
            <v>Basic Entitlement (KS3)</v>
          </cell>
          <cell r="J1" t="str">
            <v>Basic Entitlement (KS4)</v>
          </cell>
          <cell r="K1" t="str">
            <v>Free School Meals (Primary)</v>
          </cell>
          <cell r="L1" t="str">
            <v>Free School Meals (Secondary)</v>
          </cell>
          <cell r="M1" t="str">
            <v>Free School Meals Ever 6 (Primary)</v>
          </cell>
          <cell r="N1" t="str">
            <v>Free School Meals Ever 6 (Secondary)</v>
          </cell>
          <cell r="O1" t="str">
            <v>IDACI (P F)</v>
          </cell>
          <cell r="P1" t="str">
            <v>IDACI (P E)</v>
          </cell>
          <cell r="Q1" t="str">
            <v>IDACI (P D)</v>
          </cell>
          <cell r="R1" t="str">
            <v>IDACI (P C)</v>
          </cell>
          <cell r="S1" t="str">
            <v>IDACI (P B)</v>
          </cell>
          <cell r="T1" t="str">
            <v>IDACI (P A)</v>
          </cell>
          <cell r="U1" t="str">
            <v>IDACI (S F)</v>
          </cell>
          <cell r="V1" t="str">
            <v>IDACI (S E)</v>
          </cell>
          <cell r="W1" t="str">
            <v>IDACI (S D)</v>
          </cell>
          <cell r="X1" t="str">
            <v>IDACI (S C)</v>
          </cell>
          <cell r="Y1" t="str">
            <v>IDACI (S B)</v>
          </cell>
          <cell r="Z1" t="str">
            <v>IDACI (S A)</v>
          </cell>
          <cell r="AA1" t="str">
            <v>EAL (P)</v>
          </cell>
          <cell r="AB1" t="str">
            <v>EAL (S)</v>
          </cell>
          <cell r="AC1" t="str">
            <v>LAC</v>
          </cell>
          <cell r="AD1" t="str">
            <v>Low Prior Attainment (P)</v>
          </cell>
          <cell r="AE1" t="str">
            <v>Low Prior Attainment (S)</v>
          </cell>
          <cell r="AF1" t="str">
            <v>Mobility (P)</v>
          </cell>
          <cell r="AG1" t="str">
            <v>Mobility (S)</v>
          </cell>
          <cell r="AH1" t="str">
            <v>Lump Sum</v>
          </cell>
          <cell r="AI1" t="str">
            <v>Sparsity Funding</v>
          </cell>
          <cell r="AJ1" t="str">
            <v>London Fringe</v>
          </cell>
          <cell r="AK1" t="str">
            <v>Split Sites</v>
          </cell>
          <cell r="AL1" t="str">
            <v>Rates</v>
          </cell>
          <cell r="AM1" t="str">
            <v>PFI</v>
          </cell>
          <cell r="AN1" t="str">
            <v>22-23 Approved Exceptional Circumstance 1: Reserved for Additional lump sum for schools amalgamated during FY21-22</v>
          </cell>
          <cell r="AO1" t="str">
            <v>22-23 Approved Exceptional Circumstance 2: Reserved for additional sparsity lump sum</v>
          </cell>
          <cell r="AP1" t="str">
            <v>22-23 Approved Exceptional Circumstance 3</v>
          </cell>
          <cell r="AQ1" t="str">
            <v>22-23 Approved Exceptional Circumstance 4</v>
          </cell>
          <cell r="AR1" t="str">
            <v>22-23 Approved Exceptional Circumstance 5</v>
          </cell>
          <cell r="AS1" t="str">
            <v>22-23 Approved Exceptional Circumstance 6</v>
          </cell>
          <cell r="AT1" t="str">
            <v>22-23 Approved Exceptional Circumstance 7</v>
          </cell>
          <cell r="AU1" t="str">
            <v>Basic Entitlement Total</v>
          </cell>
          <cell r="AV1" t="str">
            <v>AEN Total</v>
          </cell>
          <cell r="AW1" t="str">
            <v>School Factors total</v>
          </cell>
          <cell r="AX1" t="str">
            <v>Notional SEN Budget</v>
          </cell>
          <cell r="AY1" t="str">
            <v>Total Allocation</v>
          </cell>
          <cell r="AZ1" t="str">
            <v>Minimum per pupil funding: adjusted total allocation (excluding premises costs)</v>
          </cell>
          <cell r="BA1" t="str">
            <v>Minimum per pupil funding: minimum per pupil rate</v>
          </cell>
          <cell r="BB1" t="str">
            <v>Minimum per pupil funding: minimum funding level</v>
          </cell>
          <cell r="BC1" t="str">
            <v>Minimum per pupil funding: additional funding to meet the primary minimum funding level</v>
          </cell>
          <cell r="BD1" t="str">
            <v>Minimum per pupil funding: additional funding to meet the secondary minimum funding level</v>
          </cell>
          <cell r="BE1" t="str">
            <v>Total allocation including minimum funding level adjustment</v>
          </cell>
          <cell r="BF1" t="str">
            <v>Primary Funding</v>
          </cell>
          <cell r="BG1" t="str">
            <v>Secondary Funding</v>
          </cell>
          <cell r="BH1" t="str">
            <v>22-23 MFG budget using minimum funding level</v>
          </cell>
          <cell r="BI1" t="str">
            <v>Minimum allocation after capping/scaling</v>
          </cell>
          <cell r="BJ1" t="str">
            <v>22-23 MFG Budget</v>
          </cell>
          <cell r="BK1" t="str">
            <v>22-23 MFG Unit Value</v>
          </cell>
          <cell r="BL1" t="str">
            <v>21-22 MFG Unit Value</v>
          </cell>
          <cell r="BM1" t="str">
            <v>MFG % change</v>
          </cell>
          <cell r="BN1" t="str">
            <v>MFG Value adjustment</v>
          </cell>
          <cell r="BO1" t="str">
            <v>22-23 MFG Adjustment</v>
          </cell>
          <cell r="BP1" t="str">
            <v>22-23 Post MFG Budget</v>
          </cell>
          <cell r="BQ1" t="str">
            <v>Minimum per pupil funding: post MFG minimum funding per pupil rate</v>
          </cell>
          <cell r="BR1" t="str">
            <v>Minimum per pupil funding: per pupil rate is greater than or equal to the minimum entered on the Proforma sheet?</v>
          </cell>
          <cell r="BS1" t="str">
            <v>22-23 Post MFG per pupil Budget</v>
          </cell>
          <cell r="BT1" t="str">
            <v>Year on year % Change</v>
          </cell>
          <cell r="BU1" t="str">
            <v>De-delegation</v>
          </cell>
          <cell r="BV1" t="str">
            <v>Post De-delegation budget</v>
          </cell>
          <cell r="BW1" t="str">
            <v>Education functions for maintained schools</v>
          </cell>
          <cell r="BX1" t="str">
            <v>Post De-delegation and Education functions budget</v>
          </cell>
          <cell r="BY1" t="str">
            <v>22-23 NFF NNDR allocation</v>
          </cell>
          <cell r="BZ1" t="str">
            <v>Post De-delegation and Education functions budget after deduction of 22-23 NFF NNDR allocation</v>
          </cell>
          <cell r="CA1" t="str">
            <v>Total Per Pupil Led Funding 2022-23</v>
          </cell>
          <cell r="CB1" t="str">
            <v>Estimated per pupil funding supplementary grant per pupil</v>
          </cell>
          <cell r="CC1" t="str">
            <v>Total per pupil led funding 2022-23 including pupil led elements of sup grant</v>
          </cell>
          <cell r="CD1" t="str">
            <v>Baseline Funding</v>
          </cell>
          <cell r="CE1" t="str">
            <v>Top Up Value 2022-23</v>
          </cell>
        </row>
        <row r="2">
          <cell r="C2">
            <v>3072058</v>
          </cell>
          <cell r="D2" t="str">
            <v>St John's Primary School</v>
          </cell>
          <cell r="E2">
            <v>399</v>
          </cell>
          <cell r="F2">
            <v>399</v>
          </cell>
          <cell r="G2">
            <v>0</v>
          </cell>
          <cell r="H2">
            <v>1474169.3399999999</v>
          </cell>
          <cell r="I2">
            <v>0</v>
          </cell>
          <cell r="J2">
            <v>0</v>
          </cell>
          <cell r="K2">
            <v>75570.599999999962</v>
          </cell>
          <cell r="L2">
            <v>0</v>
          </cell>
          <cell r="M2">
            <v>100973.59999999999</v>
          </cell>
          <cell r="N2">
            <v>0</v>
          </cell>
          <cell r="O2">
            <v>9854.1299999999956</v>
          </cell>
          <cell r="P2">
            <v>29148.460000000032</v>
          </cell>
          <cell r="Q2">
            <v>55953.760000000097</v>
          </cell>
          <cell r="R2">
            <v>3169.7999999999984</v>
          </cell>
          <cell r="S2">
            <v>1688.2799999999993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97944.331935483846</v>
          </cell>
          <cell r="AB2">
            <v>0</v>
          </cell>
          <cell r="AC2">
            <v>0</v>
          </cell>
          <cell r="AD2">
            <v>217533.605625</v>
          </cell>
          <cell r="AE2">
            <v>0</v>
          </cell>
          <cell r="AF2">
            <v>13874.160399999986</v>
          </cell>
          <cell r="AG2">
            <v>0</v>
          </cell>
          <cell r="AH2">
            <v>139310.62</v>
          </cell>
          <cell r="AI2">
            <v>0</v>
          </cell>
          <cell r="AJ2">
            <v>0</v>
          </cell>
          <cell r="AK2">
            <v>0</v>
          </cell>
          <cell r="AL2">
            <v>106656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1474169.3399999999</v>
          </cell>
          <cell r="AV2">
            <v>605710.72796048387</v>
          </cell>
          <cell r="AW2">
            <v>245966.62</v>
          </cell>
          <cell r="AX2">
            <v>369800.55952500005</v>
          </cell>
          <cell r="AY2">
            <v>2325846.6879604836</v>
          </cell>
          <cell r="AZ2">
            <v>2219190.6879604836</v>
          </cell>
          <cell r="BA2">
            <v>4265</v>
          </cell>
          <cell r="BB2">
            <v>1701735</v>
          </cell>
          <cell r="BC2">
            <v>0</v>
          </cell>
          <cell r="BD2">
            <v>0</v>
          </cell>
          <cell r="BE2">
            <v>2325846.6879604836</v>
          </cell>
          <cell r="BF2">
            <v>2325846.6879604836</v>
          </cell>
          <cell r="BG2">
            <v>0</v>
          </cell>
          <cell r="BH2">
            <v>1808391</v>
          </cell>
          <cell r="BI2">
            <v>1562424.38</v>
          </cell>
          <cell r="BJ2">
            <v>2079880.0679604835</v>
          </cell>
          <cell r="BK2">
            <v>5212.7319999009615</v>
          </cell>
          <cell r="BL2">
            <v>5071.6110784061693</v>
          </cell>
          <cell r="BM2">
            <v>2.7825659206332818E-2</v>
          </cell>
          <cell r="BN2">
            <v>0</v>
          </cell>
          <cell r="BO2">
            <v>0</v>
          </cell>
          <cell r="BP2">
            <v>2325846.6879604836</v>
          </cell>
          <cell r="BQ2">
            <v>5561.8814234598585</v>
          </cell>
          <cell r="BR2" t="str">
            <v>Y</v>
          </cell>
          <cell r="BS2">
            <v>5829.1896941365503</v>
          </cell>
          <cell r="BT2">
            <v>2.1962749747227228E-2</v>
          </cell>
          <cell r="BU2">
            <v>-7241.8499999999995</v>
          </cell>
          <cell r="BV2">
            <v>2318604.8379604835</v>
          </cell>
          <cell r="BW2">
            <v>-11854.29</v>
          </cell>
          <cell r="BX2">
            <v>2306750.5479604835</v>
          </cell>
          <cell r="BY2">
            <v>106656</v>
          </cell>
          <cell r="BZ2">
            <v>2200094.5479604835</v>
          </cell>
          <cell r="CA2">
            <v>5212.7319999009615</v>
          </cell>
          <cell r="CB2">
            <v>148.59143619047617</v>
          </cell>
          <cell r="CC2">
            <v>5361.3234360914375</v>
          </cell>
          <cell r="CD2">
            <v>6000</v>
          </cell>
          <cell r="CE2">
            <v>5638.6765639085625</v>
          </cell>
        </row>
        <row r="3">
          <cell r="C3">
            <v>3072071</v>
          </cell>
          <cell r="D3" t="str">
            <v>West Acton Primary School</v>
          </cell>
          <cell r="E3">
            <v>619</v>
          </cell>
          <cell r="F3">
            <v>619</v>
          </cell>
          <cell r="G3">
            <v>0</v>
          </cell>
          <cell r="H3">
            <v>2286994.54</v>
          </cell>
          <cell r="I3">
            <v>0</v>
          </cell>
          <cell r="J3">
            <v>0</v>
          </cell>
          <cell r="K3">
            <v>88525.560000000143</v>
          </cell>
          <cell r="L3">
            <v>0</v>
          </cell>
          <cell r="M3">
            <v>114923.89999999983</v>
          </cell>
          <cell r="N3">
            <v>0</v>
          </cell>
          <cell r="O3">
            <v>18444.909999999931</v>
          </cell>
          <cell r="P3">
            <v>19535.670000000046</v>
          </cell>
          <cell r="Q3">
            <v>20259.119999999995</v>
          </cell>
          <cell r="R3">
            <v>24301.800000000007</v>
          </cell>
          <cell r="S3">
            <v>1688.2800000000007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184095.50041666653</v>
          </cell>
          <cell r="AB3">
            <v>0</v>
          </cell>
          <cell r="AC3">
            <v>0</v>
          </cell>
          <cell r="AD3">
            <v>277048.41635097493</v>
          </cell>
          <cell r="AE3">
            <v>0</v>
          </cell>
          <cell r="AF3">
            <v>42344.872400000051</v>
          </cell>
          <cell r="AG3">
            <v>0</v>
          </cell>
          <cell r="AH3">
            <v>139310.62</v>
          </cell>
          <cell r="AI3">
            <v>0</v>
          </cell>
          <cell r="AJ3">
            <v>0</v>
          </cell>
          <cell r="AK3">
            <v>0</v>
          </cell>
          <cell r="AL3">
            <v>50160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2286994.54</v>
          </cell>
          <cell r="AV3">
            <v>791168.02916764142</v>
          </cell>
          <cell r="AW3">
            <v>189470.62</v>
          </cell>
          <cell r="AX3">
            <v>460000.6292509748</v>
          </cell>
          <cell r="AY3">
            <v>3267633.1891676416</v>
          </cell>
          <cell r="AZ3">
            <v>3217473.1891676416</v>
          </cell>
          <cell r="BA3">
            <v>4265</v>
          </cell>
          <cell r="BB3">
            <v>2640035</v>
          </cell>
          <cell r="BC3">
            <v>0</v>
          </cell>
          <cell r="BD3">
            <v>0</v>
          </cell>
          <cell r="BE3">
            <v>3267633.1891676416</v>
          </cell>
          <cell r="BF3">
            <v>3267633.1891676416</v>
          </cell>
          <cell r="BG3">
            <v>0</v>
          </cell>
          <cell r="BH3">
            <v>2690195</v>
          </cell>
          <cell r="BI3">
            <v>2500724.38</v>
          </cell>
          <cell r="BJ3">
            <v>3078162.5691676415</v>
          </cell>
          <cell r="BK3">
            <v>4972.7989808847196</v>
          </cell>
          <cell r="BL3">
            <v>4722.2501730263157</v>
          </cell>
          <cell r="BM3">
            <v>5.3057080560777764E-2</v>
          </cell>
          <cell r="BN3">
            <v>0</v>
          </cell>
          <cell r="BO3">
            <v>0</v>
          </cell>
          <cell r="BP3">
            <v>3267633.1891676416</v>
          </cell>
          <cell r="BQ3">
            <v>5197.8565253112138</v>
          </cell>
          <cell r="BR3" t="str">
            <v>Y</v>
          </cell>
          <cell r="BS3">
            <v>5278.8904509978056</v>
          </cell>
          <cell r="BT3">
            <v>4.8672394646224415E-2</v>
          </cell>
          <cell r="BU3">
            <v>-11234.849999999999</v>
          </cell>
          <cell r="BV3">
            <v>3256398.3391676415</v>
          </cell>
          <cell r="BW3">
            <v>-18390.490000000002</v>
          </cell>
          <cell r="BX3">
            <v>3238007.8491676413</v>
          </cell>
          <cell r="BY3">
            <v>50160</v>
          </cell>
          <cell r="BZ3">
            <v>3187847.8491676413</v>
          </cell>
          <cell r="CA3">
            <v>4972.7989808847196</v>
          </cell>
          <cell r="CB3">
            <v>138.68591767366715</v>
          </cell>
          <cell r="CC3">
            <v>5111.4848985583867</v>
          </cell>
          <cell r="CD3">
            <v>6000</v>
          </cell>
          <cell r="CE3">
            <v>5888.5151014416133</v>
          </cell>
        </row>
        <row r="4">
          <cell r="C4">
            <v>3072083</v>
          </cell>
          <cell r="D4" t="str">
            <v>Beaconsfield Primary and Nursery School</v>
          </cell>
          <cell r="E4">
            <v>395</v>
          </cell>
          <cell r="F4">
            <v>395</v>
          </cell>
          <cell r="G4">
            <v>0</v>
          </cell>
          <cell r="H4">
            <v>1459390.7</v>
          </cell>
          <cell r="I4">
            <v>0</v>
          </cell>
          <cell r="J4">
            <v>0</v>
          </cell>
          <cell r="K4">
            <v>43183.199999999946</v>
          </cell>
          <cell r="L4">
            <v>0</v>
          </cell>
          <cell r="M4">
            <v>57794.099999999984</v>
          </cell>
          <cell r="N4">
            <v>0</v>
          </cell>
          <cell r="O4">
            <v>28299.039999999964</v>
          </cell>
          <cell r="P4">
            <v>7132.0699999999961</v>
          </cell>
          <cell r="Q4">
            <v>1447.0800000000002</v>
          </cell>
          <cell r="R4">
            <v>9509.4000000000087</v>
          </cell>
          <cell r="S4">
            <v>562.75999999999931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123659.08114035084</v>
          </cell>
          <cell r="AB4">
            <v>0</v>
          </cell>
          <cell r="AC4">
            <v>0</v>
          </cell>
          <cell r="AD4">
            <v>210696.01411149825</v>
          </cell>
          <cell r="AE4">
            <v>0</v>
          </cell>
          <cell r="AF4">
            <v>18378.48199999984</v>
          </cell>
          <cell r="AG4">
            <v>0</v>
          </cell>
          <cell r="AH4">
            <v>139310.62</v>
          </cell>
          <cell r="AI4">
            <v>0</v>
          </cell>
          <cell r="AJ4">
            <v>0</v>
          </cell>
          <cell r="AK4">
            <v>0</v>
          </cell>
          <cell r="AL4">
            <v>32766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1459390.7</v>
          </cell>
          <cell r="AV4">
            <v>500661.22725184885</v>
          </cell>
          <cell r="AW4">
            <v>172076.62</v>
          </cell>
          <cell r="AX4">
            <v>315623.89921149821</v>
          </cell>
          <cell r="AY4">
            <v>2132128.547251849</v>
          </cell>
          <cell r="AZ4">
            <v>2099362.547251849</v>
          </cell>
          <cell r="BA4">
            <v>4265</v>
          </cell>
          <cell r="BB4">
            <v>1684675</v>
          </cell>
          <cell r="BC4">
            <v>0</v>
          </cell>
          <cell r="BD4">
            <v>0</v>
          </cell>
          <cell r="BE4">
            <v>2132128.547251849</v>
          </cell>
          <cell r="BF4">
            <v>2132128.547251849</v>
          </cell>
          <cell r="BG4">
            <v>0</v>
          </cell>
          <cell r="BH4">
            <v>1717441</v>
          </cell>
          <cell r="BI4">
            <v>1545364.38</v>
          </cell>
          <cell r="BJ4">
            <v>1960051.9272518489</v>
          </cell>
          <cell r="BK4">
            <v>4962.1567778527815</v>
          </cell>
          <cell r="BL4">
            <v>4828.4374648437506</v>
          </cell>
          <cell r="BM4">
            <v>2.769411719270513E-2</v>
          </cell>
          <cell r="BN4">
            <v>0</v>
          </cell>
          <cell r="BO4">
            <v>0</v>
          </cell>
          <cell r="BP4">
            <v>2132128.547251849</v>
          </cell>
          <cell r="BQ4">
            <v>5314.8418917768331</v>
          </cell>
          <cell r="BR4" t="str">
            <v>Y</v>
          </cell>
          <cell r="BS4">
            <v>5397.7937905110102</v>
          </cell>
          <cell r="BT4">
            <v>2.2977142942040452E-2</v>
          </cell>
          <cell r="BU4">
            <v>-7169.2499999999991</v>
          </cell>
          <cell r="BV4">
            <v>2124959.297251849</v>
          </cell>
          <cell r="BW4">
            <v>-11735.45</v>
          </cell>
          <cell r="BX4">
            <v>2113223.8472518488</v>
          </cell>
          <cell r="BY4">
            <v>32766</v>
          </cell>
          <cell r="BZ4">
            <v>2080457.8472518488</v>
          </cell>
          <cell r="CA4">
            <v>4962.1567778527824</v>
          </cell>
          <cell r="CB4">
            <v>132.90385012658228</v>
          </cell>
          <cell r="CC4">
            <v>5095.0606279793647</v>
          </cell>
          <cell r="CD4">
            <v>6000</v>
          </cell>
          <cell r="CE4">
            <v>5904.9393720206353</v>
          </cell>
        </row>
        <row r="5">
          <cell r="C5">
            <v>3072088</v>
          </cell>
          <cell r="D5" t="str">
            <v>Coston Primary School</v>
          </cell>
          <cell r="E5">
            <v>380</v>
          </cell>
          <cell r="F5">
            <v>380</v>
          </cell>
          <cell r="G5">
            <v>0</v>
          </cell>
          <cell r="H5">
            <v>1403970.8</v>
          </cell>
          <cell r="I5">
            <v>0</v>
          </cell>
          <cell r="J5">
            <v>0</v>
          </cell>
          <cell r="K5">
            <v>63155.429999999942</v>
          </cell>
          <cell r="L5">
            <v>0</v>
          </cell>
          <cell r="M5">
            <v>83701.799999999974</v>
          </cell>
          <cell r="N5">
            <v>0</v>
          </cell>
          <cell r="O5">
            <v>5053.3999999999969</v>
          </cell>
          <cell r="P5">
            <v>27287.919999999987</v>
          </cell>
          <cell r="Q5">
            <v>3858.880000000006</v>
          </cell>
          <cell r="R5">
            <v>2641.4999999999982</v>
          </cell>
          <cell r="S5">
            <v>1125.5199999999995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98631.28</v>
          </cell>
          <cell r="AB5">
            <v>0</v>
          </cell>
          <cell r="AC5">
            <v>0</v>
          </cell>
          <cell r="AD5">
            <v>206288.78085106384</v>
          </cell>
          <cell r="AE5">
            <v>0</v>
          </cell>
          <cell r="AF5">
            <v>17209.907999999832</v>
          </cell>
          <cell r="AG5">
            <v>0</v>
          </cell>
          <cell r="AH5">
            <v>139310.62</v>
          </cell>
          <cell r="AI5">
            <v>0</v>
          </cell>
          <cell r="AJ5">
            <v>0</v>
          </cell>
          <cell r="AK5">
            <v>0</v>
          </cell>
          <cell r="AL5">
            <v>35306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1403970.8</v>
          </cell>
          <cell r="AV5">
            <v>508954.41885106353</v>
          </cell>
          <cell r="AW5">
            <v>174616.62</v>
          </cell>
          <cell r="AX5">
            <v>318724.21045106376</v>
          </cell>
          <cell r="AY5">
            <v>2087541.8388510635</v>
          </cell>
          <cell r="AZ5">
            <v>2052235.8388510635</v>
          </cell>
          <cell r="BA5">
            <v>4265</v>
          </cell>
          <cell r="BB5">
            <v>1620700</v>
          </cell>
          <cell r="BC5">
            <v>0</v>
          </cell>
          <cell r="BD5">
            <v>0</v>
          </cell>
          <cell r="BE5">
            <v>2087541.8388510635</v>
          </cell>
          <cell r="BF5">
            <v>2087541.8388510635</v>
          </cell>
          <cell r="BG5">
            <v>0</v>
          </cell>
          <cell r="BH5">
            <v>1656006</v>
          </cell>
          <cell r="BI5">
            <v>1481389.38</v>
          </cell>
          <cell r="BJ5">
            <v>1912925.2188510634</v>
          </cell>
          <cell r="BK5">
            <v>5034.0137338185878</v>
          </cell>
          <cell r="BL5">
            <v>4855.6763234536074</v>
          </cell>
          <cell r="BM5">
            <v>3.6727614957279019E-2</v>
          </cell>
          <cell r="BN5">
            <v>0</v>
          </cell>
          <cell r="BO5">
            <v>0</v>
          </cell>
          <cell r="BP5">
            <v>2087541.8388510635</v>
          </cell>
          <cell r="BQ5">
            <v>5400.6206285554299</v>
          </cell>
          <cell r="BR5" t="str">
            <v>Y</v>
          </cell>
          <cell r="BS5">
            <v>5493.5311548712198</v>
          </cell>
          <cell r="BT5">
            <v>3.5398028194726372E-2</v>
          </cell>
          <cell r="BU5">
            <v>-6896.9999999999991</v>
          </cell>
          <cell r="BV5">
            <v>2080644.8388510635</v>
          </cell>
          <cell r="BW5">
            <v>-11289.800000000001</v>
          </cell>
          <cell r="BX5">
            <v>2069355.0388510635</v>
          </cell>
          <cell r="BY5">
            <v>35306</v>
          </cell>
          <cell r="BZ5">
            <v>2034049.0388510635</v>
          </cell>
          <cell r="CA5">
            <v>5034.0137338185887</v>
          </cell>
          <cell r="CB5">
            <v>143.77156210526314</v>
          </cell>
          <cell r="CC5">
            <v>5177.7852959238517</v>
          </cell>
          <cell r="CD5">
            <v>6000</v>
          </cell>
          <cell r="CE5">
            <v>5822.2147040761483</v>
          </cell>
        </row>
        <row r="6">
          <cell r="C6">
            <v>3072094</v>
          </cell>
          <cell r="D6" t="str">
            <v>Drayton Green Primary School</v>
          </cell>
          <cell r="E6">
            <v>324</v>
          </cell>
          <cell r="F6">
            <v>324</v>
          </cell>
          <cell r="G6">
            <v>0</v>
          </cell>
          <cell r="H6">
            <v>1197069.8399999999</v>
          </cell>
          <cell r="I6">
            <v>0</v>
          </cell>
          <cell r="J6">
            <v>0</v>
          </cell>
          <cell r="K6">
            <v>59376.899999999965</v>
          </cell>
          <cell r="L6">
            <v>0</v>
          </cell>
          <cell r="M6">
            <v>75730.200000000026</v>
          </cell>
          <cell r="N6">
            <v>0</v>
          </cell>
          <cell r="O6">
            <v>21224.279999999981</v>
          </cell>
          <cell r="P6">
            <v>11163.239999999989</v>
          </cell>
          <cell r="Q6">
            <v>12059.000000000002</v>
          </cell>
          <cell r="R6">
            <v>1584.9</v>
          </cell>
          <cell r="S6">
            <v>9004.1599999999962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76878.937611940346</v>
          </cell>
          <cell r="AB6">
            <v>0</v>
          </cell>
          <cell r="AC6">
            <v>0</v>
          </cell>
          <cell r="AD6">
            <v>115168.43828571429</v>
          </cell>
          <cell r="AE6">
            <v>0</v>
          </cell>
          <cell r="AF6">
            <v>13342.990399999988</v>
          </cell>
          <cell r="AG6">
            <v>0</v>
          </cell>
          <cell r="AH6">
            <v>139310.62</v>
          </cell>
          <cell r="AI6">
            <v>0</v>
          </cell>
          <cell r="AJ6">
            <v>0</v>
          </cell>
          <cell r="AK6">
            <v>0</v>
          </cell>
          <cell r="AL6">
            <v>33274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1197069.8399999999</v>
          </cell>
          <cell r="AV6">
            <v>395533.04629765457</v>
          </cell>
          <cell r="AW6">
            <v>172584.62</v>
          </cell>
          <cell r="AX6">
            <v>223978.4896857143</v>
          </cell>
          <cell r="AY6">
            <v>1765187.5062976545</v>
          </cell>
          <cell r="AZ6">
            <v>1731913.5062976545</v>
          </cell>
          <cell r="BA6">
            <v>4265</v>
          </cell>
          <cell r="BB6">
            <v>1381860</v>
          </cell>
          <cell r="BC6">
            <v>0</v>
          </cell>
          <cell r="BD6">
            <v>0</v>
          </cell>
          <cell r="BE6">
            <v>1765187.5062976545</v>
          </cell>
          <cell r="BF6">
            <v>1765187.506297654</v>
          </cell>
          <cell r="BG6">
            <v>0</v>
          </cell>
          <cell r="BH6">
            <v>1415134</v>
          </cell>
          <cell r="BI6">
            <v>1242549.3799999999</v>
          </cell>
          <cell r="BJ6">
            <v>1592602.8862976544</v>
          </cell>
          <cell r="BK6">
            <v>4915.4410070915255</v>
          </cell>
          <cell r="BL6">
            <v>5186.6072488372092</v>
          </cell>
          <cell r="BM6">
            <v>-5.2282008013326386E-2</v>
          </cell>
          <cell r="BN6">
            <v>5.7282008013326384E-2</v>
          </cell>
          <cell r="BO6">
            <v>96260.166068717794</v>
          </cell>
          <cell r="BP6">
            <v>1861447.6723663723</v>
          </cell>
          <cell r="BQ6">
            <v>5642.5113344641122</v>
          </cell>
          <cell r="BR6" t="str">
            <v>Y</v>
          </cell>
          <cell r="BS6">
            <v>5745.2088653283099</v>
          </cell>
          <cell r="BT6">
            <v>1.0003352929442988E-2</v>
          </cell>
          <cell r="BU6">
            <v>-5880.5999999999995</v>
          </cell>
          <cell r="BV6">
            <v>1855567.0723663722</v>
          </cell>
          <cell r="BW6">
            <v>-9626.0400000000009</v>
          </cell>
          <cell r="BX6">
            <v>1845941.0323663722</v>
          </cell>
          <cell r="BY6">
            <v>33274</v>
          </cell>
          <cell r="BZ6">
            <v>1812667.0323663722</v>
          </cell>
          <cell r="CA6">
            <v>5212.5402850813962</v>
          </cell>
          <cell r="CB6">
            <v>145.75061925925928</v>
          </cell>
          <cell r="CC6">
            <v>5358.2909043406553</v>
          </cell>
          <cell r="CD6">
            <v>6000</v>
          </cell>
          <cell r="CE6">
            <v>5641.7090956593456</v>
          </cell>
        </row>
        <row r="7">
          <cell r="C7">
            <v>3072125</v>
          </cell>
          <cell r="D7" t="str">
            <v>Selborne Primary School</v>
          </cell>
          <cell r="E7">
            <v>588</v>
          </cell>
          <cell r="F7">
            <v>588</v>
          </cell>
          <cell r="G7">
            <v>0</v>
          </cell>
          <cell r="H7">
            <v>2172460.08</v>
          </cell>
          <cell r="I7">
            <v>0</v>
          </cell>
          <cell r="J7">
            <v>0</v>
          </cell>
          <cell r="K7">
            <v>102020.30999999985</v>
          </cell>
          <cell r="L7">
            <v>0</v>
          </cell>
          <cell r="M7">
            <v>136181.5</v>
          </cell>
          <cell r="N7">
            <v>0</v>
          </cell>
          <cell r="O7">
            <v>54829.389999999992</v>
          </cell>
          <cell r="P7">
            <v>5891.7099999999955</v>
          </cell>
          <cell r="Q7">
            <v>2411.8000000000011</v>
          </cell>
          <cell r="R7">
            <v>2113.1999999999985</v>
          </cell>
          <cell r="S7">
            <v>4502.0799999999836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114849.59733333334</v>
          </cell>
          <cell r="AB7">
            <v>0</v>
          </cell>
          <cell r="AC7">
            <v>0</v>
          </cell>
          <cell r="AD7">
            <v>250986.67252427185</v>
          </cell>
          <cell r="AE7">
            <v>0</v>
          </cell>
          <cell r="AF7">
            <v>0</v>
          </cell>
          <cell r="AG7">
            <v>0</v>
          </cell>
          <cell r="AH7">
            <v>139310.62</v>
          </cell>
          <cell r="AI7">
            <v>0</v>
          </cell>
          <cell r="AJ7">
            <v>0</v>
          </cell>
          <cell r="AK7">
            <v>0</v>
          </cell>
          <cell r="AL7">
            <v>72864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2172460.08</v>
          </cell>
          <cell r="AV7">
            <v>673786.25985760498</v>
          </cell>
          <cell r="AW7">
            <v>212174.62</v>
          </cell>
          <cell r="AX7">
            <v>423304.63352427183</v>
          </cell>
          <cell r="AY7">
            <v>3058420.9598576054</v>
          </cell>
          <cell r="AZ7">
            <v>2985556.9598576054</v>
          </cell>
          <cell r="BA7">
            <v>4265</v>
          </cell>
          <cell r="BB7">
            <v>2507820</v>
          </cell>
          <cell r="BC7">
            <v>0</v>
          </cell>
          <cell r="BD7">
            <v>0</v>
          </cell>
          <cell r="BE7">
            <v>3058420.9598576054</v>
          </cell>
          <cell r="BF7">
            <v>3058420.9598576059</v>
          </cell>
          <cell r="BG7">
            <v>0</v>
          </cell>
          <cell r="BH7">
            <v>2580684</v>
          </cell>
          <cell r="BI7">
            <v>2368509.38</v>
          </cell>
          <cell r="BJ7">
            <v>2846246.3398576053</v>
          </cell>
          <cell r="BK7">
            <v>4840.5549997578319</v>
          </cell>
          <cell r="BL7">
            <v>4662.1643722972976</v>
          </cell>
          <cell r="BM7">
            <v>3.8263478765471245E-2</v>
          </cell>
          <cell r="BN7">
            <v>0</v>
          </cell>
          <cell r="BO7">
            <v>0</v>
          </cell>
          <cell r="BP7">
            <v>3058420.9598576054</v>
          </cell>
          <cell r="BQ7">
            <v>5077.4778228870837</v>
          </cell>
          <cell r="BR7" t="str">
            <v>Y</v>
          </cell>
          <cell r="BS7">
            <v>5201.3961902340225</v>
          </cell>
          <cell r="BT7">
            <v>3.6017590747452699E-2</v>
          </cell>
          <cell r="BU7">
            <v>-10672.199999999999</v>
          </cell>
          <cell r="BV7">
            <v>3047748.7598576052</v>
          </cell>
          <cell r="BW7">
            <v>-17469.48</v>
          </cell>
          <cell r="BX7">
            <v>3030279.2798576052</v>
          </cell>
          <cell r="BY7">
            <v>72864</v>
          </cell>
          <cell r="BZ7">
            <v>2957415.2798576052</v>
          </cell>
          <cell r="CA7">
            <v>4840.5549997578319</v>
          </cell>
          <cell r="CB7">
            <v>145.43702258503399</v>
          </cell>
          <cell r="CC7">
            <v>4985.9920223428662</v>
          </cell>
          <cell r="CD7">
            <v>6000</v>
          </cell>
          <cell r="CE7">
            <v>6014.0079776571347</v>
          </cell>
        </row>
        <row r="8">
          <cell r="C8">
            <v>3072161</v>
          </cell>
          <cell r="D8" t="str">
            <v>Allenby Primary School</v>
          </cell>
          <cell r="E8">
            <v>222</v>
          </cell>
          <cell r="F8">
            <v>222</v>
          </cell>
          <cell r="G8">
            <v>0</v>
          </cell>
          <cell r="H8">
            <v>820214.52</v>
          </cell>
          <cell r="I8">
            <v>0</v>
          </cell>
          <cell r="J8">
            <v>0</v>
          </cell>
          <cell r="K8">
            <v>38325.090000000018</v>
          </cell>
          <cell r="L8">
            <v>0</v>
          </cell>
          <cell r="M8">
            <v>49822.500000000015</v>
          </cell>
          <cell r="N8">
            <v>0</v>
          </cell>
          <cell r="O8">
            <v>1768.689999999998</v>
          </cell>
          <cell r="P8">
            <v>16124.679999999984</v>
          </cell>
          <cell r="Q8">
            <v>964.72000000000025</v>
          </cell>
          <cell r="R8">
            <v>4226.3999999999951</v>
          </cell>
          <cell r="S8">
            <v>1688.2799999999982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55057.127434554954</v>
          </cell>
          <cell r="AB8">
            <v>0</v>
          </cell>
          <cell r="AC8">
            <v>0</v>
          </cell>
          <cell r="AD8">
            <v>121859.88761904763</v>
          </cell>
          <cell r="AE8">
            <v>0</v>
          </cell>
          <cell r="AF8">
            <v>2847.0712000000067</v>
          </cell>
          <cell r="AG8">
            <v>0</v>
          </cell>
          <cell r="AH8">
            <v>139310.62</v>
          </cell>
          <cell r="AI8">
            <v>0</v>
          </cell>
          <cell r="AJ8">
            <v>0</v>
          </cell>
          <cell r="AK8">
            <v>0</v>
          </cell>
          <cell r="AL8">
            <v>29210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820214.52</v>
          </cell>
          <cell r="AV8">
            <v>292684.44625360263</v>
          </cell>
          <cell r="AW8">
            <v>168520.62</v>
          </cell>
          <cell r="AX8">
            <v>188655.04461904764</v>
          </cell>
          <cell r="AY8">
            <v>1281419.5862536025</v>
          </cell>
          <cell r="AZ8">
            <v>1252209.5862536025</v>
          </cell>
          <cell r="BA8">
            <v>4265</v>
          </cell>
          <cell r="BB8">
            <v>946830</v>
          </cell>
          <cell r="BC8">
            <v>0</v>
          </cell>
          <cell r="BD8">
            <v>0</v>
          </cell>
          <cell r="BE8">
            <v>1281419.5862536025</v>
          </cell>
          <cell r="BF8">
            <v>1281419.5862536025</v>
          </cell>
          <cell r="BG8">
            <v>0</v>
          </cell>
          <cell r="BH8">
            <v>976040</v>
          </cell>
          <cell r="BI8">
            <v>807519.38</v>
          </cell>
          <cell r="BJ8">
            <v>1112898.9662536024</v>
          </cell>
          <cell r="BK8">
            <v>5013.0584065477588</v>
          </cell>
          <cell r="BL8">
            <v>4930.3384243243245</v>
          </cell>
          <cell r="BM8">
            <v>1.6777749335689991E-2</v>
          </cell>
          <cell r="BN8">
            <v>0</v>
          </cell>
          <cell r="BO8">
            <v>0</v>
          </cell>
          <cell r="BP8">
            <v>1281419.5862536025</v>
          </cell>
          <cell r="BQ8">
            <v>5640.5837218630741</v>
          </cell>
          <cell r="BR8" t="str">
            <v>Y</v>
          </cell>
          <cell r="BS8">
            <v>5772.1602984396513</v>
          </cell>
          <cell r="BT8">
            <v>1.4539212580834127E-2</v>
          </cell>
          <cell r="BU8">
            <v>-4029.2999999999997</v>
          </cell>
          <cell r="BV8">
            <v>1277390.2862536025</v>
          </cell>
          <cell r="BW8">
            <v>-6595.62</v>
          </cell>
          <cell r="BX8">
            <v>1270794.6662536024</v>
          </cell>
          <cell r="BY8">
            <v>29210</v>
          </cell>
          <cell r="BZ8">
            <v>1241584.6662536024</v>
          </cell>
          <cell r="CA8">
            <v>5013.0584065477597</v>
          </cell>
          <cell r="CB8">
            <v>144.38255999999998</v>
          </cell>
          <cell r="CC8">
            <v>5157.4409665477597</v>
          </cell>
          <cell r="CD8">
            <v>6000</v>
          </cell>
          <cell r="CE8">
            <v>12529.55903345224</v>
          </cell>
        </row>
        <row r="9">
          <cell r="C9">
            <v>3072167</v>
          </cell>
          <cell r="D9" t="str">
            <v>Fielding Primary School</v>
          </cell>
          <cell r="E9">
            <v>870</v>
          </cell>
          <cell r="F9">
            <v>870</v>
          </cell>
          <cell r="G9">
            <v>0</v>
          </cell>
          <cell r="H9">
            <v>3214354.1999999997</v>
          </cell>
          <cell r="I9">
            <v>0</v>
          </cell>
          <cell r="J9">
            <v>0</v>
          </cell>
          <cell r="K9">
            <v>33466.980000000018</v>
          </cell>
          <cell r="L9">
            <v>0</v>
          </cell>
          <cell r="M9">
            <v>48493.899999999994</v>
          </cell>
          <cell r="N9">
            <v>0</v>
          </cell>
          <cell r="O9">
            <v>4042.7199999999889</v>
          </cell>
          <cell r="P9">
            <v>5891.7099999999964</v>
          </cell>
          <cell r="Q9">
            <v>3376.5199999999982</v>
          </cell>
          <cell r="R9">
            <v>1584.9000000000017</v>
          </cell>
          <cell r="S9">
            <v>1688.280000000002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69434.699999999924</v>
          </cell>
          <cell r="AB9">
            <v>0</v>
          </cell>
          <cell r="AC9">
            <v>0</v>
          </cell>
          <cell r="AD9">
            <v>166586.33253182462</v>
          </cell>
          <cell r="AE9">
            <v>0</v>
          </cell>
          <cell r="AF9">
            <v>0</v>
          </cell>
          <cell r="AG9">
            <v>0</v>
          </cell>
          <cell r="AH9">
            <v>139310.62</v>
          </cell>
          <cell r="AI9">
            <v>0</v>
          </cell>
          <cell r="AJ9">
            <v>0</v>
          </cell>
          <cell r="AK9">
            <v>0</v>
          </cell>
          <cell r="AL9">
            <v>95040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3214354.1999999997</v>
          </cell>
          <cell r="AV9">
            <v>334566.04253182455</v>
          </cell>
          <cell r="AW9">
            <v>234350.62</v>
          </cell>
          <cell r="AX9">
            <v>299735.29213182459</v>
          </cell>
          <cell r="AY9">
            <v>3783270.8625318245</v>
          </cell>
          <cell r="AZ9">
            <v>3688230.8625318245</v>
          </cell>
          <cell r="BA9">
            <v>4265</v>
          </cell>
          <cell r="BB9">
            <v>3710550</v>
          </cell>
          <cell r="BC9">
            <v>22319.137468175497</v>
          </cell>
          <cell r="BD9">
            <v>0</v>
          </cell>
          <cell r="BE9">
            <v>3805590</v>
          </cell>
          <cell r="BF9">
            <v>3805589.9999999995</v>
          </cell>
          <cell r="BG9">
            <v>0</v>
          </cell>
          <cell r="BH9">
            <v>3805590</v>
          </cell>
          <cell r="BI9">
            <v>3571239.38</v>
          </cell>
          <cell r="BJ9">
            <v>3571239.38</v>
          </cell>
          <cell r="BK9">
            <v>4104.8728505747122</v>
          </cell>
          <cell r="BL9">
            <v>4011.3430750605326</v>
          </cell>
          <cell r="BM9">
            <v>2.3316324174732481E-2</v>
          </cell>
          <cell r="BN9">
            <v>0</v>
          </cell>
          <cell r="BO9">
            <v>0</v>
          </cell>
          <cell r="BP9">
            <v>3805590</v>
          </cell>
          <cell r="BQ9">
            <v>4265</v>
          </cell>
          <cell r="BR9" t="str">
            <v>Y</v>
          </cell>
          <cell r="BS9">
            <v>4374.2413793103451</v>
          </cell>
          <cell r="BT9">
            <v>1.8435327283535585E-2</v>
          </cell>
          <cell r="BU9">
            <v>-15790.499999999998</v>
          </cell>
          <cell r="BV9">
            <v>3789799.5</v>
          </cell>
          <cell r="BW9">
            <v>-25847.7</v>
          </cell>
          <cell r="BX9">
            <v>3763951.8</v>
          </cell>
          <cell r="BY9">
            <v>95040</v>
          </cell>
          <cell r="BZ9">
            <v>3668911.8</v>
          </cell>
          <cell r="CA9">
            <v>4104.8728505747131</v>
          </cell>
          <cell r="CB9">
            <v>119.59373057471265</v>
          </cell>
          <cell r="CC9">
            <v>4224.466581149426</v>
          </cell>
          <cell r="CD9">
            <v>6000</v>
          </cell>
          <cell r="CE9">
            <v>6775.533418850574</v>
          </cell>
        </row>
        <row r="10">
          <cell r="C10">
            <v>3072168</v>
          </cell>
          <cell r="D10" t="str">
            <v>Gifford Primary School</v>
          </cell>
          <cell r="E10">
            <v>829</v>
          </cell>
          <cell r="F10">
            <v>829</v>
          </cell>
          <cell r="G10">
            <v>0</v>
          </cell>
          <cell r="H10">
            <v>3062873.1399999997</v>
          </cell>
          <cell r="I10">
            <v>0</v>
          </cell>
          <cell r="J10">
            <v>0</v>
          </cell>
          <cell r="K10">
            <v>147902.46</v>
          </cell>
          <cell r="L10">
            <v>0</v>
          </cell>
          <cell r="M10">
            <v>201282.90000000011</v>
          </cell>
          <cell r="N10">
            <v>0</v>
          </cell>
          <cell r="O10">
            <v>25266.999999999996</v>
          </cell>
          <cell r="P10">
            <v>75351.87000000001</v>
          </cell>
          <cell r="Q10">
            <v>149049.2399999999</v>
          </cell>
          <cell r="R10">
            <v>44377.200000000106</v>
          </cell>
          <cell r="S10">
            <v>2251.0399999999995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188161.62606488034</v>
          </cell>
          <cell r="AB10">
            <v>0</v>
          </cell>
          <cell r="AC10">
            <v>0</v>
          </cell>
          <cell r="AD10">
            <v>382537.47748878924</v>
          </cell>
          <cell r="AE10">
            <v>0</v>
          </cell>
          <cell r="AF10">
            <v>8774.9284000000407</v>
          </cell>
          <cell r="AG10">
            <v>0</v>
          </cell>
          <cell r="AH10">
            <v>139310.62</v>
          </cell>
          <cell r="AI10">
            <v>0</v>
          </cell>
          <cell r="AJ10">
            <v>0</v>
          </cell>
          <cell r="AK10">
            <v>0</v>
          </cell>
          <cell r="AL10">
            <v>123024</v>
          </cell>
          <cell r="AM10">
            <v>142462.66126492401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3062873.1399999997</v>
          </cell>
          <cell r="AV10">
            <v>1224955.7419536698</v>
          </cell>
          <cell r="AW10">
            <v>404797.28126492398</v>
          </cell>
          <cell r="AX10">
            <v>729586.34738878929</v>
          </cell>
          <cell r="AY10">
            <v>4692626.1632185932</v>
          </cell>
          <cell r="AZ10">
            <v>4427139.5019536689</v>
          </cell>
          <cell r="BA10">
            <v>4265</v>
          </cell>
          <cell r="BB10">
            <v>3535685</v>
          </cell>
          <cell r="BC10">
            <v>0</v>
          </cell>
          <cell r="BD10">
            <v>0</v>
          </cell>
          <cell r="BE10">
            <v>4692626.1632185932</v>
          </cell>
          <cell r="BF10">
            <v>4692626.1632185932</v>
          </cell>
          <cell r="BG10">
            <v>0</v>
          </cell>
          <cell r="BH10">
            <v>3801171.6612649239</v>
          </cell>
          <cell r="BI10">
            <v>3538837.0412649238</v>
          </cell>
          <cell r="BJ10">
            <v>4430291.5432185931</v>
          </cell>
          <cell r="BK10">
            <v>5344.1393766207393</v>
          </cell>
          <cell r="BL10">
            <v>5218.8350981065087</v>
          </cell>
          <cell r="BM10">
            <v>2.4010009160797856E-2</v>
          </cell>
          <cell r="BN10">
            <v>0</v>
          </cell>
          <cell r="BO10">
            <v>0</v>
          </cell>
          <cell r="BP10">
            <v>4692626.1632185932</v>
          </cell>
          <cell r="BQ10">
            <v>5340.3371555532794</v>
          </cell>
          <cell r="BR10" t="str">
            <v>Y</v>
          </cell>
          <cell r="BS10">
            <v>5660.5864453782788</v>
          </cell>
          <cell r="BT10">
            <v>2.3745574797100044E-2</v>
          </cell>
          <cell r="BU10">
            <v>-15046.349999999999</v>
          </cell>
          <cell r="BV10">
            <v>4677579.8132185936</v>
          </cell>
          <cell r="BW10">
            <v>-24629.59</v>
          </cell>
          <cell r="BX10">
            <v>4652950.2232185937</v>
          </cell>
          <cell r="BY10">
            <v>123024</v>
          </cell>
          <cell r="BZ10">
            <v>4529926.2232185937</v>
          </cell>
          <cell r="CA10">
            <v>5172.2905693047878</v>
          </cell>
          <cell r="CB10">
            <v>147.08302127864897</v>
          </cell>
          <cell r="CC10">
            <v>5319.3735905834365</v>
          </cell>
          <cell r="CD10">
            <v>6000</v>
          </cell>
          <cell r="CE10">
            <v>9180.6264094165635</v>
          </cell>
        </row>
        <row r="11">
          <cell r="C11">
            <v>3072170</v>
          </cell>
          <cell r="D11" t="str">
            <v>Havelock Primary School and Nursery</v>
          </cell>
          <cell r="E11">
            <v>365</v>
          </cell>
          <cell r="F11">
            <v>365</v>
          </cell>
          <cell r="G11">
            <v>0</v>
          </cell>
          <cell r="H11">
            <v>1348550.9</v>
          </cell>
          <cell r="I11">
            <v>0</v>
          </cell>
          <cell r="J11">
            <v>0</v>
          </cell>
          <cell r="K11">
            <v>57757.530000000021</v>
          </cell>
          <cell r="L11">
            <v>0</v>
          </cell>
          <cell r="M11">
            <v>87023.299999999974</v>
          </cell>
          <cell r="N11">
            <v>0</v>
          </cell>
          <cell r="O11">
            <v>17939.569999999956</v>
          </cell>
          <cell r="P11">
            <v>13333.869999999977</v>
          </cell>
          <cell r="Q11">
            <v>62224.440000000082</v>
          </cell>
          <cell r="R11">
            <v>1056.5999999999997</v>
          </cell>
          <cell r="S11">
            <v>562.75999999999988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127180.35353697753</v>
          </cell>
          <cell r="AB11">
            <v>0</v>
          </cell>
          <cell r="AC11">
            <v>0</v>
          </cell>
          <cell r="AD11">
            <v>172687.80315126051</v>
          </cell>
          <cell r="AE11">
            <v>0</v>
          </cell>
          <cell r="AF11">
            <v>17103.674000000043</v>
          </cell>
          <cell r="AG11">
            <v>0</v>
          </cell>
          <cell r="AH11">
            <v>139310.62</v>
          </cell>
          <cell r="AI11">
            <v>0</v>
          </cell>
          <cell r="AJ11">
            <v>0</v>
          </cell>
          <cell r="AK11">
            <v>0</v>
          </cell>
          <cell r="AL11">
            <v>47784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1348550.9</v>
          </cell>
          <cell r="AV11">
            <v>556869.90068823809</v>
          </cell>
          <cell r="AW11">
            <v>187094.62</v>
          </cell>
          <cell r="AX11">
            <v>312669.83725126053</v>
          </cell>
          <cell r="AY11">
            <v>2092515.420688238</v>
          </cell>
          <cell r="AZ11">
            <v>2044731.420688238</v>
          </cell>
          <cell r="BA11">
            <v>4265</v>
          </cell>
          <cell r="BB11">
            <v>1556725</v>
          </cell>
          <cell r="BC11">
            <v>0</v>
          </cell>
          <cell r="BD11">
            <v>0</v>
          </cell>
          <cell r="BE11">
            <v>2092515.420688238</v>
          </cell>
          <cell r="BF11">
            <v>2092515.4206882385</v>
          </cell>
          <cell r="BG11">
            <v>0</v>
          </cell>
          <cell r="BH11">
            <v>1604509</v>
          </cell>
          <cell r="BI11">
            <v>1417414.38</v>
          </cell>
          <cell r="BJ11">
            <v>1905420.8006882379</v>
          </cell>
          <cell r="BK11">
            <v>5220.3309607896927</v>
          </cell>
          <cell r="BL11">
            <v>5022.453250413223</v>
          </cell>
          <cell r="BM11">
            <v>3.9398616674070429E-2</v>
          </cell>
          <cell r="BN11">
            <v>0</v>
          </cell>
          <cell r="BO11">
            <v>0</v>
          </cell>
          <cell r="BP11">
            <v>2092515.420688238</v>
          </cell>
          <cell r="BQ11">
            <v>5602.0038922965423</v>
          </cell>
          <cell r="BR11" t="str">
            <v>Y</v>
          </cell>
          <cell r="BS11">
            <v>5732.9189607896933</v>
          </cell>
          <cell r="BT11">
            <v>3.522179017329341E-2</v>
          </cell>
          <cell r="BU11">
            <v>-6624.7499999999991</v>
          </cell>
          <cell r="BV11">
            <v>2085890.670688238</v>
          </cell>
          <cell r="BW11">
            <v>-10844.15</v>
          </cell>
          <cell r="BX11">
            <v>2075046.5206882381</v>
          </cell>
          <cell r="BY11">
            <v>47784</v>
          </cell>
          <cell r="BZ11">
            <v>2027262.5206882381</v>
          </cell>
          <cell r="CA11">
            <v>5220.3309607896936</v>
          </cell>
          <cell r="CB11">
            <v>146.43906630136985</v>
          </cell>
          <cell r="CC11">
            <v>5366.7700270910636</v>
          </cell>
          <cell r="CD11">
            <v>6000</v>
          </cell>
          <cell r="CE11">
            <v>5633.2299729089364</v>
          </cell>
        </row>
        <row r="12">
          <cell r="C12">
            <v>3072172</v>
          </cell>
          <cell r="D12" t="str">
            <v>Willow Tree Primary School</v>
          </cell>
          <cell r="E12">
            <v>485</v>
          </cell>
          <cell r="F12">
            <v>485</v>
          </cell>
          <cell r="G12">
            <v>0</v>
          </cell>
          <cell r="H12">
            <v>1791910.0999999999</v>
          </cell>
          <cell r="I12">
            <v>0</v>
          </cell>
          <cell r="J12">
            <v>0</v>
          </cell>
          <cell r="K12">
            <v>98241.780000000028</v>
          </cell>
          <cell r="L12">
            <v>0</v>
          </cell>
          <cell r="M12">
            <v>130867.09999999989</v>
          </cell>
          <cell r="N12">
            <v>0</v>
          </cell>
          <cell r="O12">
            <v>53313.370000000046</v>
          </cell>
          <cell r="P12">
            <v>14264.140000000005</v>
          </cell>
          <cell r="Q12">
            <v>10129.559999999989</v>
          </cell>
          <cell r="R12">
            <v>52829.99999999992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97287.910538641576</v>
          </cell>
          <cell r="AB12">
            <v>0</v>
          </cell>
          <cell r="AC12">
            <v>0</v>
          </cell>
          <cell r="AD12">
            <v>254619.48750000002</v>
          </cell>
          <cell r="AE12">
            <v>0</v>
          </cell>
          <cell r="AF12">
            <v>9454.8259999999864</v>
          </cell>
          <cell r="AG12">
            <v>0</v>
          </cell>
          <cell r="AH12">
            <v>139310.62</v>
          </cell>
          <cell r="AI12">
            <v>0</v>
          </cell>
          <cell r="AJ12">
            <v>0</v>
          </cell>
          <cell r="AK12">
            <v>0</v>
          </cell>
          <cell r="AL12">
            <v>98208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1791910.0999999999</v>
          </cell>
          <cell r="AV12">
            <v>721008.1740386415</v>
          </cell>
          <cell r="AW12">
            <v>237518.62</v>
          </cell>
          <cell r="AX12">
            <v>445621.90059999994</v>
          </cell>
          <cell r="AY12">
            <v>2750436.8940386414</v>
          </cell>
          <cell r="AZ12">
            <v>2652228.8940386414</v>
          </cell>
          <cell r="BA12">
            <v>4265</v>
          </cell>
          <cell r="BB12">
            <v>2068525</v>
          </cell>
          <cell r="BC12">
            <v>0</v>
          </cell>
          <cell r="BD12">
            <v>0</v>
          </cell>
          <cell r="BE12">
            <v>2750436.8940386414</v>
          </cell>
          <cell r="BF12">
            <v>2750436.8940386414</v>
          </cell>
          <cell r="BG12">
            <v>0</v>
          </cell>
          <cell r="BH12">
            <v>2166733</v>
          </cell>
          <cell r="BI12">
            <v>1929214.38</v>
          </cell>
          <cell r="BJ12">
            <v>2512918.2740386412</v>
          </cell>
          <cell r="BK12">
            <v>5181.2747918322502</v>
          </cell>
          <cell r="BL12">
            <v>5057.2866605415857</v>
          </cell>
          <cell r="BM12">
            <v>2.4516729940989079E-2</v>
          </cell>
          <cell r="BN12">
            <v>0</v>
          </cell>
          <cell r="BO12">
            <v>0</v>
          </cell>
          <cell r="BP12">
            <v>2750436.8940386414</v>
          </cell>
          <cell r="BQ12">
            <v>5468.5131835848279</v>
          </cell>
          <cell r="BR12" t="str">
            <v>Y</v>
          </cell>
          <cell r="BS12">
            <v>5671.0039052343118</v>
          </cell>
          <cell r="BT12">
            <v>2.7969634141843169E-2</v>
          </cell>
          <cell r="BU12">
            <v>-8802.75</v>
          </cell>
          <cell r="BV12">
            <v>2741634.1440386414</v>
          </cell>
          <cell r="BW12">
            <v>-14409.35</v>
          </cell>
          <cell r="BX12">
            <v>2727224.7940386413</v>
          </cell>
          <cell r="BY12">
            <v>98208</v>
          </cell>
          <cell r="BZ12">
            <v>2629016.7940386413</v>
          </cell>
          <cell r="CA12">
            <v>5181.2747918322502</v>
          </cell>
          <cell r="CB12">
            <v>151.05471999999995</v>
          </cell>
          <cell r="CC12">
            <v>5332.3295118322503</v>
          </cell>
          <cell r="CD12">
            <v>6000</v>
          </cell>
          <cell r="CE12">
            <v>5667.6704881677506</v>
          </cell>
        </row>
        <row r="13">
          <cell r="CA13">
            <v>4971.2528200547713</v>
          </cell>
          <cell r="CB13">
            <v>141.35865831292938</v>
          </cell>
          <cell r="CC13">
            <v>5112.6114783677003</v>
          </cell>
          <cell r="CD13">
            <v>6000</v>
          </cell>
          <cell r="CE13">
            <v>5887.3885216322997</v>
          </cell>
        </row>
        <row r="14">
          <cell r="CC14">
            <v>5.4554149637232971E-2</v>
          </cell>
        </row>
        <row r="17">
          <cell r="C17" t="str">
            <v>LAESTAB</v>
          </cell>
          <cell r="D17" t="str">
            <v>School Name</v>
          </cell>
          <cell r="E17" t="str">
            <v>NOR (from Adjusted Factors column O)</v>
          </cell>
          <cell r="F17" t="str">
            <v>NOR Primary (from Adjusted Factors column P)</v>
          </cell>
          <cell r="G17" t="str">
            <v>NOR Secondary (from Adjusted Factors column S)</v>
          </cell>
          <cell r="H17" t="str">
            <v>Basic Entitlement (Primary)</v>
          </cell>
          <cell r="I17" t="str">
            <v>Basic Entitlement (KS3)</v>
          </cell>
          <cell r="J17" t="str">
            <v>Basic Entitlement (KS4)</v>
          </cell>
          <cell r="K17" t="str">
            <v>Free School Meals (Primary)</v>
          </cell>
          <cell r="L17" t="str">
            <v>Free School Meals (Secondary)</v>
          </cell>
          <cell r="M17" t="str">
            <v>Free School Meals Ever 6 (Primary)</v>
          </cell>
          <cell r="N17" t="str">
            <v>Free School Meals Ever 6 (Secondary)</v>
          </cell>
          <cell r="O17" t="str">
            <v>IDACI (P F)</v>
          </cell>
          <cell r="P17" t="str">
            <v>IDACI (P E)</v>
          </cell>
          <cell r="Q17" t="str">
            <v>IDACI (P D)</v>
          </cell>
          <cell r="R17" t="str">
            <v>IDACI (P C)</v>
          </cell>
          <cell r="S17" t="str">
            <v>IDACI (P B)</v>
          </cell>
          <cell r="T17" t="str">
            <v>IDACI (P A)</v>
          </cell>
          <cell r="U17" t="str">
            <v>IDACI (S F)</v>
          </cell>
          <cell r="V17" t="str">
            <v>IDACI (S E)</v>
          </cell>
          <cell r="W17" t="str">
            <v>IDACI (S D)</v>
          </cell>
          <cell r="X17" t="str">
            <v>IDACI (S C)</v>
          </cell>
          <cell r="Y17" t="str">
            <v>IDACI (S B)</v>
          </cell>
          <cell r="Z17" t="str">
            <v>IDACI (S A)</v>
          </cell>
          <cell r="AA17" t="str">
            <v>EAL (P)</v>
          </cell>
          <cell r="AB17" t="str">
            <v>EAL (S)</v>
          </cell>
          <cell r="AC17" t="str">
            <v>LAC</v>
          </cell>
          <cell r="AD17" t="str">
            <v>Low Prior Attainment (P)</v>
          </cell>
          <cell r="AE17" t="str">
            <v>Low Prior Attainment (S)</v>
          </cell>
          <cell r="AF17" t="str">
            <v>Mobility (P)</v>
          </cell>
          <cell r="AG17" t="str">
            <v>Mobility (S)</v>
          </cell>
          <cell r="AH17" t="str">
            <v>Lump Sum</v>
          </cell>
          <cell r="AI17" t="str">
            <v>Sparsity Funding</v>
          </cell>
          <cell r="AJ17" t="str">
            <v>London Fringe</v>
          </cell>
          <cell r="AK17" t="str">
            <v>Split Sites</v>
          </cell>
          <cell r="AL17" t="str">
            <v>Rates</v>
          </cell>
          <cell r="AM17" t="str">
            <v>PFI</v>
          </cell>
          <cell r="AN17" t="str">
            <v>22-23 Approved Exceptional Circumstance 1: Reserved for Additional lump sum for schools amalgamated during FY21-22</v>
          </cell>
          <cell r="AO17" t="str">
            <v>22-23 Approved Exceptional Circumstance 2: Reserved for additional sparsity lump sum</v>
          </cell>
          <cell r="AP17" t="str">
            <v>22-23 Approved Exceptional Circumstance 3</v>
          </cell>
          <cell r="AQ17" t="str">
            <v>22-23 Approved Exceptional Circumstance 4</v>
          </cell>
          <cell r="AR17" t="str">
            <v>22-23 Approved Exceptional Circumstance 5</v>
          </cell>
          <cell r="AS17" t="str">
            <v>22-23 Approved Exceptional Circumstance 6</v>
          </cell>
          <cell r="AT17" t="str">
            <v>22-23 Approved Exceptional Circumstance 7</v>
          </cell>
          <cell r="AU17" t="str">
            <v>Basic Entitlement Total</v>
          </cell>
          <cell r="AV17" t="str">
            <v>AEN Total</v>
          </cell>
          <cell r="AW17" t="str">
            <v>School Factors total</v>
          </cell>
          <cell r="AX17" t="str">
            <v>Notional SEN Budget</v>
          </cell>
          <cell r="AY17" t="str">
            <v>Total Allocation</v>
          </cell>
          <cell r="AZ17" t="str">
            <v>Minimum per pupil funding: adjusted total allocation (excluding premises costs)</v>
          </cell>
          <cell r="BA17" t="str">
            <v>Minimum per pupil funding: minimum per pupil rate</v>
          </cell>
          <cell r="BB17" t="str">
            <v>Minimum per pupil funding: minimum funding level</v>
          </cell>
          <cell r="BC17" t="str">
            <v>Minimum per pupil funding: additional funding to meet the primary minimum funding level</v>
          </cell>
          <cell r="BD17" t="str">
            <v>Minimum per pupil funding: additional funding to meet the secondary minimum funding level</v>
          </cell>
          <cell r="BE17" t="str">
            <v>Total allocation including minimum funding level adjustment</v>
          </cell>
          <cell r="BF17" t="str">
            <v>Primary Funding</v>
          </cell>
          <cell r="BG17" t="str">
            <v>Secondary Funding</v>
          </cell>
          <cell r="BH17" t="str">
            <v>22-23 MFG budget using minimum funding level</v>
          </cell>
          <cell r="BI17" t="str">
            <v>Minimum allocation after capping/scaling</v>
          </cell>
          <cell r="BJ17" t="str">
            <v>22-23 MFG Budget</v>
          </cell>
          <cell r="BK17" t="str">
            <v>22-23 MFG Unit Value</v>
          </cell>
          <cell r="BL17" t="str">
            <v>21-22 MFG Unit Value</v>
          </cell>
          <cell r="BM17" t="str">
            <v>MFG % change</v>
          </cell>
          <cell r="BN17" t="str">
            <v>MFG Value adjustment</v>
          </cell>
          <cell r="BO17" t="str">
            <v>22-23 MFG Adjustment</v>
          </cell>
          <cell r="BP17" t="str">
            <v>22-23 Post MFG Budget</v>
          </cell>
          <cell r="BQ17" t="str">
            <v>Minimum per pupil funding: post MFG minimum funding per pupil rate</v>
          </cell>
          <cell r="BR17" t="str">
            <v>Minimum per pupil funding: per pupil rate is greater than or equal to the minimum entered on the Proforma sheet?</v>
          </cell>
          <cell r="BS17" t="str">
            <v>22-23 Post MFG per pupil Budget</v>
          </cell>
          <cell r="BT17" t="str">
            <v>Year on year % Change</v>
          </cell>
          <cell r="BU17" t="str">
            <v>De-delegation</v>
          </cell>
          <cell r="BV17" t="str">
            <v>Post De-delegation budget</v>
          </cell>
          <cell r="BW17" t="str">
            <v>Education functions for maintained schools</v>
          </cell>
          <cell r="BX17" t="str">
            <v>Post De-delegation and Education functions budget</v>
          </cell>
          <cell r="BY17" t="str">
            <v>22-23 NFF NNDR allocation</v>
          </cell>
          <cell r="BZ17" t="str">
            <v>Post De-delegation and Education functions budget after deduction of 22-23 NFF NNDR allocation</v>
          </cell>
          <cell r="CA17" t="str">
            <v>Total Per Pupil Led Funding 2022-23</v>
          </cell>
          <cell r="CB17" t="str">
            <v>Estimated per pupil funding supplementary grant per pupil</v>
          </cell>
          <cell r="CC17" t="str">
            <v>Total per pupil led funding 2022-23 including pupil led elements of sup grant</v>
          </cell>
          <cell r="CD17" t="str">
            <v>Baseline Funding</v>
          </cell>
          <cell r="CE17" t="str">
            <v>Top Up Value 2022-23</v>
          </cell>
        </row>
        <row r="18">
          <cell r="C18">
            <v>3074036</v>
          </cell>
          <cell r="D18" t="str">
            <v>Elthorne Park High School</v>
          </cell>
          <cell r="E18">
            <v>1229</v>
          </cell>
          <cell r="F18">
            <v>0</v>
          </cell>
          <cell r="G18">
            <v>1229</v>
          </cell>
          <cell r="H18">
            <v>0</v>
          </cell>
          <cell r="I18">
            <v>3860246.91</v>
          </cell>
          <cell r="J18">
            <v>2865062.6399999997</v>
          </cell>
          <cell r="K18">
            <v>0</v>
          </cell>
          <cell r="L18">
            <v>100940.7299999997</v>
          </cell>
          <cell r="M18">
            <v>0</v>
          </cell>
          <cell r="N18">
            <v>216412.5799999997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41896.139999999978</v>
          </cell>
          <cell r="V18">
            <v>36607.500000000007</v>
          </cell>
          <cell r="W18">
            <v>24600.599999999988</v>
          </cell>
          <cell r="X18">
            <v>1493.0199999999991</v>
          </cell>
          <cell r="Y18">
            <v>4823.6399999999985</v>
          </cell>
          <cell r="Z18">
            <v>0</v>
          </cell>
          <cell r="AA18">
            <v>0</v>
          </cell>
          <cell r="AB18">
            <v>57986.610000000081</v>
          </cell>
          <cell r="AC18">
            <v>0</v>
          </cell>
          <cell r="AD18">
            <v>0</v>
          </cell>
          <cell r="AE18">
            <v>373211.17692963954</v>
          </cell>
          <cell r="AF18">
            <v>0</v>
          </cell>
          <cell r="AG18">
            <v>0</v>
          </cell>
          <cell r="AH18">
            <v>139310.62</v>
          </cell>
          <cell r="AI18">
            <v>0</v>
          </cell>
          <cell r="AJ18">
            <v>0</v>
          </cell>
          <cell r="AK18">
            <v>0</v>
          </cell>
          <cell r="AL18">
            <v>135960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6725309.5499999998</v>
          </cell>
          <cell r="AV18">
            <v>857971.99692963902</v>
          </cell>
          <cell r="AW18">
            <v>275270.62</v>
          </cell>
          <cell r="AX18">
            <v>742066.52202963934</v>
          </cell>
          <cell r="AY18">
            <v>7858552.1669296389</v>
          </cell>
          <cell r="AZ18">
            <v>7722592.1669296389</v>
          </cell>
          <cell r="BA18">
            <v>5525</v>
          </cell>
          <cell r="BB18">
            <v>6790225</v>
          </cell>
          <cell r="BC18">
            <v>0</v>
          </cell>
          <cell r="BD18">
            <v>0</v>
          </cell>
          <cell r="BE18">
            <v>7858552.1669296389</v>
          </cell>
          <cell r="BF18">
            <v>0</v>
          </cell>
          <cell r="BG18">
            <v>7858552.166929638</v>
          </cell>
          <cell r="BH18">
            <v>6926185</v>
          </cell>
          <cell r="BI18">
            <v>6650914.3799999999</v>
          </cell>
          <cell r="BJ18">
            <v>7583281.5469296388</v>
          </cell>
          <cell r="BK18">
            <v>6170.2860430672408</v>
          </cell>
          <cell r="BL18">
            <v>6005.1269634346754</v>
          </cell>
          <cell r="BM18">
            <v>2.7503012115850666E-2</v>
          </cell>
          <cell r="BN18">
            <v>0</v>
          </cell>
          <cell r="BO18">
            <v>0</v>
          </cell>
          <cell r="BP18">
            <v>7858552.1669296389</v>
          </cell>
          <cell r="BQ18">
            <v>6283.6388665009272</v>
          </cell>
          <cell r="BR18" t="str">
            <v>Y</v>
          </cell>
          <cell r="BS18">
            <v>6394.2653921315205</v>
          </cell>
          <cell r="BT18">
            <v>2.6150271339636877E-2</v>
          </cell>
          <cell r="BU18">
            <v>-10704.589999999998</v>
          </cell>
          <cell r="BV18">
            <v>7847847.5769296391</v>
          </cell>
          <cell r="BW18">
            <v>-36513.590000000004</v>
          </cell>
          <cell r="BX18">
            <v>7811333.9869296392</v>
          </cell>
          <cell r="BY18">
            <v>135960</v>
          </cell>
          <cell r="BZ18">
            <v>7675373.9869296392</v>
          </cell>
          <cell r="CA18">
            <v>6170.2860430672408</v>
          </cell>
          <cell r="CB18">
            <v>191.39059423921884</v>
          </cell>
          <cell r="CC18">
            <v>6361.6766373064593</v>
          </cell>
          <cell r="CD18">
            <v>6000</v>
          </cell>
          <cell r="CE18">
            <v>5988.3233626935407</v>
          </cell>
        </row>
        <row r="19">
          <cell r="C19">
            <v>3075401</v>
          </cell>
          <cell r="D19" t="str">
            <v>Greenford High School</v>
          </cell>
          <cell r="E19">
            <v>1432</v>
          </cell>
          <cell r="F19">
            <v>0</v>
          </cell>
          <cell r="G19">
            <v>1432</v>
          </cell>
          <cell r="H19">
            <v>0</v>
          </cell>
          <cell r="I19">
            <v>4688559</v>
          </cell>
          <cell r="J19">
            <v>3123387.96</v>
          </cell>
          <cell r="K19">
            <v>0</v>
          </cell>
          <cell r="L19">
            <v>206739.5699999998</v>
          </cell>
          <cell r="M19">
            <v>0</v>
          </cell>
          <cell r="N19">
            <v>451263.89999999938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53656.460000000094</v>
          </cell>
          <cell r="V19">
            <v>149358.60000000012</v>
          </cell>
          <cell r="W19">
            <v>154437.09999999969</v>
          </cell>
          <cell r="X19">
            <v>50762.680000000029</v>
          </cell>
          <cell r="Y19">
            <v>5627.58</v>
          </cell>
          <cell r="Z19">
            <v>0</v>
          </cell>
          <cell r="AA19">
            <v>0</v>
          </cell>
          <cell r="AB19">
            <v>68529.630000000048</v>
          </cell>
          <cell r="AC19">
            <v>0</v>
          </cell>
          <cell r="AD19">
            <v>0</v>
          </cell>
          <cell r="AE19">
            <v>509129.30697821832</v>
          </cell>
          <cell r="AF19">
            <v>0</v>
          </cell>
          <cell r="AG19">
            <v>0</v>
          </cell>
          <cell r="AH19">
            <v>139310.62</v>
          </cell>
          <cell r="AI19">
            <v>0</v>
          </cell>
          <cell r="AJ19">
            <v>0</v>
          </cell>
          <cell r="AK19">
            <v>0</v>
          </cell>
          <cell r="AL19">
            <v>109715.2</v>
          </cell>
          <cell r="AM19">
            <v>651562.32082380378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7811946.96</v>
          </cell>
          <cell r="AV19">
            <v>1649504.8269782173</v>
          </cell>
          <cell r="AW19">
            <v>900588.14082380384</v>
          </cell>
          <cell r="AX19">
            <v>1180220.1943782181</v>
          </cell>
          <cell r="AY19">
            <v>10362039.927802021</v>
          </cell>
          <cell r="AZ19">
            <v>9600762.4069782179</v>
          </cell>
          <cell r="BA19">
            <v>5525</v>
          </cell>
          <cell r="BB19">
            <v>7911800</v>
          </cell>
          <cell r="BC19">
            <v>0</v>
          </cell>
          <cell r="BD19">
            <v>0</v>
          </cell>
          <cell r="BE19">
            <v>10362039.927802021</v>
          </cell>
          <cell r="BF19">
            <v>0</v>
          </cell>
          <cell r="BG19">
            <v>10362039.927802021</v>
          </cell>
          <cell r="BH19">
            <v>8673077.5208238047</v>
          </cell>
          <cell r="BI19">
            <v>8424051.7008238062</v>
          </cell>
          <cell r="BJ19">
            <v>10113014.107802022</v>
          </cell>
          <cell r="BK19">
            <v>7062.1606898058817</v>
          </cell>
          <cell r="BL19">
            <v>6894.1011035919537</v>
          </cell>
          <cell r="BM19">
            <v>2.4377302231086497E-2</v>
          </cell>
          <cell r="BN19">
            <v>0</v>
          </cell>
          <cell r="BO19">
            <v>0</v>
          </cell>
          <cell r="BP19">
            <v>10362039.927802021</v>
          </cell>
          <cell r="BQ19">
            <v>6704.4430216328337</v>
          </cell>
          <cell r="BR19" t="str">
            <v>Y</v>
          </cell>
          <cell r="BS19">
            <v>7236.0614020963831</v>
          </cell>
          <cell r="BT19">
            <v>2.2673837392058305E-2</v>
          </cell>
          <cell r="BU19">
            <v>-12472.72</v>
          </cell>
          <cell r="BV19">
            <v>10349567.20780202</v>
          </cell>
          <cell r="BW19">
            <v>-42544.72</v>
          </cell>
          <cell r="BX19">
            <v>10307022.487802019</v>
          </cell>
          <cell r="BY19">
            <v>113377.22</v>
          </cell>
          <cell r="BZ19">
            <v>10193645.267802019</v>
          </cell>
          <cell r="CA19">
            <v>6607.1590691188667</v>
          </cell>
          <cell r="CB19">
            <v>211.2657832402235</v>
          </cell>
          <cell r="CC19">
            <v>6818.4248523590904</v>
          </cell>
          <cell r="CD19">
            <v>6000</v>
          </cell>
          <cell r="CE19">
            <v>5531.5751476409096</v>
          </cell>
        </row>
        <row r="20">
          <cell r="C20">
            <v>3074000</v>
          </cell>
          <cell r="D20" t="str">
            <v>William Perkin Church of England High School</v>
          </cell>
          <cell r="E20">
            <v>1021</v>
          </cell>
          <cell r="F20">
            <v>0</v>
          </cell>
          <cell r="G20">
            <v>1021</v>
          </cell>
          <cell r="H20">
            <v>0</v>
          </cell>
          <cell r="I20">
            <v>3235105.71</v>
          </cell>
          <cell r="J20">
            <v>2348412</v>
          </cell>
          <cell r="K20">
            <v>0</v>
          </cell>
          <cell r="L20">
            <v>85286.819999999789</v>
          </cell>
          <cell r="M20">
            <v>0</v>
          </cell>
          <cell r="N20">
            <v>199914.76000000039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33075.9</v>
          </cell>
          <cell r="V20">
            <v>61988.699999999786</v>
          </cell>
          <cell r="W20">
            <v>10250.249999999989</v>
          </cell>
          <cell r="X20">
            <v>8958.1199999999899</v>
          </cell>
          <cell r="Y20">
            <v>3215.7599999999966</v>
          </cell>
          <cell r="Z20">
            <v>0</v>
          </cell>
          <cell r="AA20">
            <v>0</v>
          </cell>
          <cell r="AB20">
            <v>14182.376047430831</v>
          </cell>
          <cell r="AC20">
            <v>0</v>
          </cell>
          <cell r="AD20">
            <v>0</v>
          </cell>
          <cell r="AE20">
            <v>325830.49368243525</v>
          </cell>
          <cell r="AF20">
            <v>0</v>
          </cell>
          <cell r="AG20">
            <v>0</v>
          </cell>
          <cell r="AH20">
            <v>139310.62</v>
          </cell>
          <cell r="AI20">
            <v>0</v>
          </cell>
          <cell r="AJ20">
            <v>0</v>
          </cell>
          <cell r="AK20">
            <v>0</v>
          </cell>
          <cell r="AL20">
            <v>65868.320000000007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5583517.71</v>
          </cell>
          <cell r="AV20">
            <v>742703.1797298661</v>
          </cell>
          <cell r="AW20">
            <v>205178.94</v>
          </cell>
          <cell r="AX20">
            <v>656217.08858243539</v>
          </cell>
          <cell r="AY20">
            <v>6531399.8297298662</v>
          </cell>
          <cell r="AZ20">
            <v>6465531.5097298659</v>
          </cell>
          <cell r="BA20">
            <v>5525</v>
          </cell>
          <cell r="BB20">
            <v>5641025</v>
          </cell>
          <cell r="BC20">
            <v>0</v>
          </cell>
          <cell r="BD20">
            <v>0</v>
          </cell>
          <cell r="BE20">
            <v>6531399.8297298662</v>
          </cell>
          <cell r="BF20">
            <v>0</v>
          </cell>
          <cell r="BG20">
            <v>6531399.8297298672</v>
          </cell>
          <cell r="BH20">
            <v>5706893.3200000003</v>
          </cell>
          <cell r="BI20">
            <v>5501714.3799999999</v>
          </cell>
          <cell r="BJ20">
            <v>6326220.8897298658</v>
          </cell>
          <cell r="BK20">
            <v>6196.102732350505</v>
          </cell>
          <cell r="BL20">
            <v>6036.359972102161</v>
          </cell>
          <cell r="BM20">
            <v>2.6463425141412433E-2</v>
          </cell>
          <cell r="BN20">
            <v>0</v>
          </cell>
          <cell r="BO20">
            <v>0</v>
          </cell>
          <cell r="BP20">
            <v>6531399.8297298662</v>
          </cell>
          <cell r="BQ20">
            <v>6332.5480016942856</v>
          </cell>
          <cell r="BR20" t="str">
            <v>Y</v>
          </cell>
          <cell r="BS20">
            <v>6397.061537443552</v>
          </cell>
          <cell r="BT20">
            <v>2.513547454237175E-2</v>
          </cell>
          <cell r="BU20">
            <v>0</v>
          </cell>
          <cell r="BV20">
            <v>6531399.8297298662</v>
          </cell>
          <cell r="BW20">
            <v>0</v>
          </cell>
          <cell r="BX20">
            <v>6531399.8297298662</v>
          </cell>
          <cell r="BY20">
            <v>68209.600000000006</v>
          </cell>
          <cell r="BZ20">
            <v>6463190.2297298666</v>
          </cell>
          <cell r="CA20">
            <v>6196.1027323505059</v>
          </cell>
          <cell r="CB20">
            <v>194.17410977473068</v>
          </cell>
          <cell r="CC20">
            <v>6390.2768421252367</v>
          </cell>
          <cell r="CD20">
            <v>6000</v>
          </cell>
          <cell r="CE20">
            <v>5959.7231578747633</v>
          </cell>
        </row>
        <row r="21">
          <cell r="C21">
            <v>3074030</v>
          </cell>
          <cell r="D21" t="str">
            <v>Dormers Wells High School</v>
          </cell>
          <cell r="E21">
            <v>1201</v>
          </cell>
          <cell r="F21">
            <v>0</v>
          </cell>
          <cell r="G21">
            <v>1201</v>
          </cell>
          <cell r="H21">
            <v>0</v>
          </cell>
          <cell r="I21">
            <v>3787313.77</v>
          </cell>
          <cell r="J21">
            <v>2782868.2199999997</v>
          </cell>
          <cell r="K21">
            <v>0</v>
          </cell>
          <cell r="L21">
            <v>159777.83999999976</v>
          </cell>
          <cell r="M21">
            <v>0</v>
          </cell>
          <cell r="N21">
            <v>356158.82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79014.649999999849</v>
          </cell>
          <cell r="V21">
            <v>78584.099999999817</v>
          </cell>
          <cell r="W21">
            <v>24600.60000000002</v>
          </cell>
          <cell r="X21">
            <v>87341.67</v>
          </cell>
          <cell r="Y21">
            <v>5627.5800000000036</v>
          </cell>
          <cell r="Z21">
            <v>0</v>
          </cell>
          <cell r="AA21">
            <v>0</v>
          </cell>
          <cell r="AB21">
            <v>144087.94000000009</v>
          </cell>
          <cell r="AC21">
            <v>0</v>
          </cell>
          <cell r="AD21">
            <v>0</v>
          </cell>
          <cell r="AE21">
            <v>596640.09319213021</v>
          </cell>
          <cell r="AF21">
            <v>0</v>
          </cell>
          <cell r="AG21">
            <v>0</v>
          </cell>
          <cell r="AH21">
            <v>139310.62</v>
          </cell>
          <cell r="AI21">
            <v>0</v>
          </cell>
          <cell r="AJ21">
            <v>0</v>
          </cell>
          <cell r="AK21">
            <v>0</v>
          </cell>
          <cell r="AL21">
            <v>57452.07</v>
          </cell>
          <cell r="AM21">
            <v>591449.21119182161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6570181.9900000002</v>
          </cell>
          <cell r="AV21">
            <v>1531833.2931921296</v>
          </cell>
          <cell r="AW21">
            <v>788211.90119182155</v>
          </cell>
          <cell r="AX21">
            <v>1113588.5814921302</v>
          </cell>
          <cell r="AY21">
            <v>8890227.1843839511</v>
          </cell>
          <cell r="AZ21">
            <v>8241325.903192129</v>
          </cell>
          <cell r="BA21">
            <v>5525</v>
          </cell>
          <cell r="BB21">
            <v>6635525</v>
          </cell>
          <cell r="BC21">
            <v>0</v>
          </cell>
          <cell r="BD21">
            <v>0</v>
          </cell>
          <cell r="BE21">
            <v>8890227.1843839511</v>
          </cell>
          <cell r="BF21">
            <v>0</v>
          </cell>
          <cell r="BG21">
            <v>8890227.1843839511</v>
          </cell>
          <cell r="BH21">
            <v>7284426.2811918221</v>
          </cell>
          <cell r="BI21">
            <v>7087663.5911918217</v>
          </cell>
          <cell r="BJ21">
            <v>8693464.4943839516</v>
          </cell>
          <cell r="BK21">
            <v>7238.5216439500018</v>
          </cell>
          <cell r="BL21">
            <v>7121.5367500831953</v>
          </cell>
          <cell r="BM21">
            <v>1.6426917106822463E-2</v>
          </cell>
          <cell r="BN21">
            <v>0</v>
          </cell>
          <cell r="BO21">
            <v>0</v>
          </cell>
          <cell r="BP21">
            <v>8890227.1843839511</v>
          </cell>
          <cell r="BQ21">
            <v>6862.0532083198414</v>
          </cell>
          <cell r="BR21" t="str">
            <v>Y</v>
          </cell>
          <cell r="BS21">
            <v>7402.3540252988769</v>
          </cell>
          <cell r="BT21">
            <v>1.5897963074144927E-2</v>
          </cell>
          <cell r="BU21">
            <v>0</v>
          </cell>
          <cell r="BV21">
            <v>8890227.1843839511</v>
          </cell>
          <cell r="BW21">
            <v>0</v>
          </cell>
          <cell r="BX21">
            <v>8890227.1843839511</v>
          </cell>
          <cell r="BY21">
            <v>58991.199999999997</v>
          </cell>
          <cell r="BZ21">
            <v>8831235.9843839519</v>
          </cell>
          <cell r="CA21">
            <v>6746.0576879201744</v>
          </cell>
          <cell r="CB21">
            <v>209.01857865112405</v>
          </cell>
          <cell r="CC21">
            <v>6955.0762665712982</v>
          </cell>
          <cell r="CD21">
            <v>6000</v>
          </cell>
          <cell r="CE21">
            <v>7544.9237334287018</v>
          </cell>
        </row>
        <row r="22">
          <cell r="C22">
            <v>3074602</v>
          </cell>
          <cell r="D22" t="str">
            <v>Twyford Church of England High School</v>
          </cell>
          <cell r="E22">
            <v>985</v>
          </cell>
          <cell r="F22">
            <v>0</v>
          </cell>
          <cell r="G22">
            <v>985</v>
          </cell>
          <cell r="H22">
            <v>0</v>
          </cell>
          <cell r="I22">
            <v>3141334.5300000003</v>
          </cell>
          <cell r="J22">
            <v>2242733.46</v>
          </cell>
          <cell r="K22">
            <v>0</v>
          </cell>
          <cell r="L22">
            <v>56138.160000000171</v>
          </cell>
          <cell r="M22">
            <v>0</v>
          </cell>
          <cell r="N22">
            <v>143628.08000000002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34178.429999999986</v>
          </cell>
          <cell r="V22">
            <v>79072.199999999953</v>
          </cell>
          <cell r="W22">
            <v>37584.250000000036</v>
          </cell>
          <cell r="X22">
            <v>41804.560000000005</v>
          </cell>
          <cell r="Y22">
            <v>8039.4000000000078</v>
          </cell>
          <cell r="Z22">
            <v>6132.8999999999951</v>
          </cell>
          <cell r="AA22">
            <v>0</v>
          </cell>
          <cell r="AB22">
            <v>7042.9804679552417</v>
          </cell>
          <cell r="AC22">
            <v>0</v>
          </cell>
          <cell r="AD22">
            <v>0</v>
          </cell>
          <cell r="AE22">
            <v>227395.75173630321</v>
          </cell>
          <cell r="AF22">
            <v>0</v>
          </cell>
          <cell r="AG22">
            <v>0</v>
          </cell>
          <cell r="AH22">
            <v>139310.62</v>
          </cell>
          <cell r="AI22">
            <v>0</v>
          </cell>
          <cell r="AJ22">
            <v>0</v>
          </cell>
          <cell r="AK22">
            <v>0</v>
          </cell>
          <cell r="AL22">
            <v>38016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5384067.9900000002</v>
          </cell>
          <cell r="AV22">
            <v>641016.71220425866</v>
          </cell>
          <cell r="AW22">
            <v>177326.62</v>
          </cell>
          <cell r="AX22">
            <v>568317.02003630321</v>
          </cell>
          <cell r="AY22">
            <v>6202411.3222042592</v>
          </cell>
          <cell r="AZ22">
            <v>6164395.3222042592</v>
          </cell>
          <cell r="BA22">
            <v>5525</v>
          </cell>
          <cell r="BB22">
            <v>5442125</v>
          </cell>
          <cell r="BC22">
            <v>0</v>
          </cell>
          <cell r="BD22">
            <v>0</v>
          </cell>
          <cell r="BE22">
            <v>6202411.3222042592</v>
          </cell>
          <cell r="BF22">
            <v>0</v>
          </cell>
          <cell r="BG22">
            <v>6202411.3222042592</v>
          </cell>
          <cell r="BH22">
            <v>5480141</v>
          </cell>
          <cell r="BI22">
            <v>5302814.38</v>
          </cell>
          <cell r="BJ22">
            <v>6025084.7022042591</v>
          </cell>
          <cell r="BK22">
            <v>6116.8372611210752</v>
          </cell>
          <cell r="BL22">
            <v>5953.554558392676</v>
          </cell>
          <cell r="BM22">
            <v>2.7426086571797854E-2</v>
          </cell>
          <cell r="BN22">
            <v>0</v>
          </cell>
          <cell r="BO22">
            <v>0</v>
          </cell>
          <cell r="BP22">
            <v>6202411.3222042592</v>
          </cell>
          <cell r="BQ22">
            <v>6258.2693626439177</v>
          </cell>
          <cell r="BR22" t="str">
            <v>Y</v>
          </cell>
          <cell r="BS22">
            <v>6296.8642865017864</v>
          </cell>
          <cell r="BT22">
            <v>2.6559798925563483E-2</v>
          </cell>
          <cell r="BU22">
            <v>0</v>
          </cell>
          <cell r="BV22">
            <v>6202411.3222042592</v>
          </cell>
          <cell r="BW22">
            <v>0</v>
          </cell>
          <cell r="BX22">
            <v>6202411.3222042592</v>
          </cell>
          <cell r="BY22">
            <v>38016</v>
          </cell>
          <cell r="BZ22">
            <v>6164395.3222042592</v>
          </cell>
          <cell r="CA22">
            <v>6116.8372611210762</v>
          </cell>
          <cell r="CB22">
            <v>186.75683963451777</v>
          </cell>
          <cell r="CC22">
            <v>6303.5941007555939</v>
          </cell>
          <cell r="CD22">
            <v>6000</v>
          </cell>
          <cell r="CE22">
            <v>6046.4058992444061</v>
          </cell>
        </row>
        <row r="23">
          <cell r="CA23">
            <v>6272.5962764144224</v>
          </cell>
          <cell r="CB23">
            <v>195.89683172217269</v>
          </cell>
          <cell r="CC23">
            <v>6468.4931081365958</v>
          </cell>
          <cell r="CD23">
            <v>6000</v>
          </cell>
          <cell r="CE23">
            <v>5881.5068918634042</v>
          </cell>
        </row>
        <row r="24">
          <cell r="CC24">
            <v>5.8211941211759669E-2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uidance/16-to-19-funding-information-for-2021-to-2022" TargetMode="External"/><Relationship Id="rId2" Type="http://schemas.openxmlformats.org/officeDocument/2006/relationships/hyperlink" Target="https://www.gov.uk/government/publications/schools-supplementary-grant-2022-to-2023" TargetMode="External"/><Relationship Id="rId1" Type="http://schemas.openxmlformats.org/officeDocument/2006/relationships/hyperlink" Target="https://www.gov.uk/government/publications/pupil-premium/pupil-premiu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65"/>
  <sheetViews>
    <sheetView showGridLines="0" tabSelected="1" zoomScaleNormal="100" workbookViewId="0">
      <selection activeCell="B5" sqref="B5"/>
    </sheetView>
  </sheetViews>
  <sheetFormatPr defaultColWidth="9" defaultRowHeight="12.75" x14ac:dyDescent="0.2"/>
  <cols>
    <col min="1" max="1" width="1.7109375" style="11" customWidth="1"/>
    <col min="2" max="2" width="57.140625" style="11" customWidth="1"/>
    <col min="3" max="3" width="6.28515625" style="14" customWidth="1"/>
    <col min="4" max="4" width="9.85546875" style="14" customWidth="1"/>
    <col min="5" max="5" width="14.7109375" style="14" customWidth="1"/>
    <col min="6" max="6" width="14.5703125" style="11" customWidth="1"/>
    <col min="7" max="7" width="13.7109375" style="11" customWidth="1"/>
    <col min="8" max="8" width="1.7109375" style="11" customWidth="1"/>
    <col min="9" max="20" width="10.140625" style="11" customWidth="1"/>
    <col min="21" max="21" width="6" style="90" customWidth="1"/>
    <col min="22" max="16384" width="9" style="11"/>
  </cols>
  <sheetData>
    <row r="2" spans="1:21" ht="23.25" x14ac:dyDescent="0.35">
      <c r="B2" s="12" t="s">
        <v>150</v>
      </c>
      <c r="C2" s="12"/>
      <c r="D2" s="12"/>
      <c r="E2" s="12"/>
      <c r="F2" s="12"/>
      <c r="G2" s="12"/>
      <c r="H2" s="12"/>
    </row>
    <row r="5" spans="1:21" ht="15" x14ac:dyDescent="0.25">
      <c r="A5" s="13"/>
      <c r="B5" s="1" t="s">
        <v>55</v>
      </c>
      <c r="C5" s="127"/>
      <c r="F5" s="98" t="s">
        <v>23</v>
      </c>
      <c r="G5" s="15">
        <f>VLOOKUP(B5,'All Schools'!A:C,3,FALSE)</f>
        <v>3072005</v>
      </c>
    </row>
    <row r="6" spans="1:21" ht="14.25" x14ac:dyDescent="0.2">
      <c r="A6" s="13"/>
      <c r="B6" s="16"/>
    </row>
    <row r="8" spans="1:21" ht="38.25" x14ac:dyDescent="0.2">
      <c r="B8" s="99"/>
      <c r="C8" s="111" t="s">
        <v>20</v>
      </c>
      <c r="D8" s="61" t="s">
        <v>44</v>
      </c>
      <c r="E8" s="82" t="s">
        <v>45</v>
      </c>
      <c r="F8" s="82" t="s">
        <v>125</v>
      </c>
      <c r="G8" s="116" t="s">
        <v>126</v>
      </c>
      <c r="H8" s="19"/>
      <c r="I8" s="97">
        <v>44652</v>
      </c>
      <c r="J8" s="97">
        <v>44682</v>
      </c>
      <c r="K8" s="97">
        <v>44713</v>
      </c>
      <c r="L8" s="97">
        <v>44743</v>
      </c>
      <c r="M8" s="97">
        <v>44774</v>
      </c>
      <c r="N8" s="97">
        <v>44805</v>
      </c>
      <c r="O8" s="97">
        <v>44835</v>
      </c>
      <c r="P8" s="97">
        <v>44866</v>
      </c>
      <c r="Q8" s="97">
        <v>44896</v>
      </c>
      <c r="R8" s="97">
        <v>44927</v>
      </c>
      <c r="S8" s="97">
        <v>44958</v>
      </c>
      <c r="T8" s="97">
        <v>44986</v>
      </c>
      <c r="U8" s="91"/>
    </row>
    <row r="9" spans="1:21" x14ac:dyDescent="0.2">
      <c r="B9" s="180" t="s">
        <v>53</v>
      </c>
      <c r="C9" s="181" t="s">
        <v>1</v>
      </c>
      <c r="D9" s="182">
        <v>8001</v>
      </c>
      <c r="E9" s="183" t="s">
        <v>46</v>
      </c>
      <c r="F9" s="184">
        <f>IF(ISNA(VLOOKUP($G$5,'All Schools'!$C:$AJ,'All Schools'!H$8,FALSE)),0,VLOOKUP($G$5,'All Schools'!$C:$AJ,'All Schools'!H$8,FALSE))</f>
        <v>1083994.5928519305</v>
      </c>
      <c r="G9" s="185"/>
      <c r="H9" s="21"/>
      <c r="I9" s="267">
        <f t="shared" ref="I9:T24" si="0">ROUND(($F9/12),0)</f>
        <v>90333</v>
      </c>
      <c r="J9" s="268">
        <f t="shared" si="0"/>
        <v>90333</v>
      </c>
      <c r="K9" s="268">
        <f t="shared" si="0"/>
        <v>90333</v>
      </c>
      <c r="L9" s="268">
        <f t="shared" si="0"/>
        <v>90333</v>
      </c>
      <c r="M9" s="268">
        <f t="shared" si="0"/>
        <v>90333</v>
      </c>
      <c r="N9" s="268">
        <f t="shared" si="0"/>
        <v>90333</v>
      </c>
      <c r="O9" s="268">
        <f t="shared" si="0"/>
        <v>90333</v>
      </c>
      <c r="P9" s="268">
        <f t="shared" si="0"/>
        <v>90333</v>
      </c>
      <c r="Q9" s="268">
        <f t="shared" si="0"/>
        <v>90333</v>
      </c>
      <c r="R9" s="268">
        <f t="shared" si="0"/>
        <v>90333</v>
      </c>
      <c r="S9" s="268">
        <f t="shared" si="0"/>
        <v>90333</v>
      </c>
      <c r="T9" s="269">
        <f>(F9+G9)-SUM(I9:S9)</f>
        <v>90331.592851930531</v>
      </c>
      <c r="U9" s="91"/>
    </row>
    <row r="10" spans="1:21" s="226" customFormat="1" x14ac:dyDescent="0.2">
      <c r="B10" s="100" t="s">
        <v>364</v>
      </c>
      <c r="C10" s="112"/>
      <c r="D10" s="58"/>
      <c r="E10" s="83"/>
      <c r="F10" s="79"/>
      <c r="G10" s="79"/>
      <c r="H10" s="21"/>
      <c r="I10" s="20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3"/>
      <c r="U10" s="91"/>
    </row>
    <row r="11" spans="1:21" x14ac:dyDescent="0.2">
      <c r="B11" s="100" t="s">
        <v>365</v>
      </c>
      <c r="C11" s="112"/>
      <c r="D11" s="58"/>
      <c r="E11" s="83"/>
      <c r="F11" s="79"/>
      <c r="G11" s="79"/>
      <c r="H11" s="21"/>
      <c r="I11" s="20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3"/>
      <c r="U11" s="91"/>
    </row>
    <row r="12" spans="1:21" s="226" customFormat="1" x14ac:dyDescent="0.2">
      <c r="B12" s="100"/>
      <c r="C12" s="112"/>
      <c r="D12" s="58"/>
      <c r="E12" s="83"/>
      <c r="F12" s="79"/>
      <c r="G12" s="79"/>
      <c r="H12" s="21"/>
      <c r="I12" s="20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3"/>
      <c r="U12" s="91"/>
    </row>
    <row r="13" spans="1:21" x14ac:dyDescent="0.2">
      <c r="B13" s="136" t="s">
        <v>145</v>
      </c>
      <c r="C13" s="112"/>
      <c r="D13" s="58"/>
      <c r="E13" s="83"/>
      <c r="F13" s="79"/>
      <c r="G13" s="79"/>
      <c r="H13" s="21"/>
      <c r="I13" s="20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23"/>
      <c r="U13" s="91"/>
    </row>
    <row r="14" spans="1:21" x14ac:dyDescent="0.2">
      <c r="B14" s="101" t="s">
        <v>275</v>
      </c>
      <c r="C14" s="114" t="s">
        <v>1</v>
      </c>
      <c r="D14" s="59">
        <v>8001</v>
      </c>
      <c r="E14" s="84" t="s">
        <v>42</v>
      </c>
      <c r="F14" s="80"/>
      <c r="G14" s="78">
        <f>IF(ISNA(VLOOKUP($G$5,'All Schools'!$C:$AJ,'All Schools'!I$8,FALSE)),0,VLOOKUP($G$5,'All Schools'!$C:$AJ,'All Schools'!I$8,FALSE))</f>
        <v>0</v>
      </c>
      <c r="I14" s="20">
        <f>G14</f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3">
        <v>0</v>
      </c>
      <c r="U14" s="91"/>
    </row>
    <row r="15" spans="1:21" x14ac:dyDescent="0.2">
      <c r="B15" s="101" t="s">
        <v>276</v>
      </c>
      <c r="C15" s="114" t="s">
        <v>16</v>
      </c>
      <c r="D15" s="59">
        <v>8012</v>
      </c>
      <c r="E15" s="84" t="s">
        <v>46</v>
      </c>
      <c r="F15" s="80"/>
      <c r="G15" s="78">
        <f>IF(ISNA(VLOOKUP($G$5,'All Schools'!$C:$AJ,'All Schools'!L$8,FALSE)),0,VLOOKUP($G$5,'All Schools'!$C:$AJ,'All Schools'!L$8,FALSE))</f>
        <v>21277.780821917811</v>
      </c>
      <c r="I15" s="20">
        <f>ROUND(($G15/12),0)</f>
        <v>1773</v>
      </c>
      <c r="J15" s="20">
        <f t="shared" ref="J15:T15" si="1">ROUND(($G15/12),0)</f>
        <v>1773</v>
      </c>
      <c r="K15" s="20">
        <f t="shared" si="1"/>
        <v>1773</v>
      </c>
      <c r="L15" s="20">
        <f t="shared" si="1"/>
        <v>1773</v>
      </c>
      <c r="M15" s="20">
        <f t="shared" si="1"/>
        <v>1773</v>
      </c>
      <c r="N15" s="20">
        <f t="shared" si="1"/>
        <v>1773</v>
      </c>
      <c r="O15" s="20">
        <f t="shared" si="1"/>
        <v>1773</v>
      </c>
      <c r="P15" s="20">
        <f t="shared" si="1"/>
        <v>1773</v>
      </c>
      <c r="Q15" s="20">
        <f t="shared" si="1"/>
        <v>1773</v>
      </c>
      <c r="R15" s="20">
        <f t="shared" si="1"/>
        <v>1773</v>
      </c>
      <c r="S15" s="20">
        <f t="shared" si="1"/>
        <v>1773</v>
      </c>
      <c r="T15" s="79">
        <f t="shared" si="1"/>
        <v>1773</v>
      </c>
      <c r="U15" s="91"/>
    </row>
    <row r="16" spans="1:21" ht="36" customHeight="1" x14ac:dyDescent="0.2">
      <c r="B16" s="101" t="s">
        <v>35</v>
      </c>
      <c r="C16" s="114" t="s">
        <v>16</v>
      </c>
      <c r="D16" s="59">
        <v>8012</v>
      </c>
      <c r="E16" s="85" t="s">
        <v>47</v>
      </c>
      <c r="F16" s="80"/>
      <c r="G16" s="78">
        <f>IF(ISNA(VLOOKUP($G$5,'All Schools'!$C:$AJ,'All Schools'!M$8,FALSE)),0,VLOOKUP($G$5,'All Schools'!$C:$AJ,'All Schools'!M$8,FALSE))</f>
        <v>0</v>
      </c>
      <c r="I16" s="20">
        <v>0</v>
      </c>
      <c r="J16" s="68">
        <f>ROUND(($F16/12*2),0)</f>
        <v>0</v>
      </c>
      <c r="K16" s="68">
        <f t="shared" si="0"/>
        <v>0</v>
      </c>
      <c r="L16" s="68">
        <f t="shared" si="0"/>
        <v>0</v>
      </c>
      <c r="M16" s="68">
        <f t="shared" si="0"/>
        <v>0</v>
      </c>
      <c r="N16" s="68">
        <f t="shared" si="0"/>
        <v>0</v>
      </c>
      <c r="O16" s="68">
        <f t="shared" si="0"/>
        <v>0</v>
      </c>
      <c r="P16" s="68">
        <f t="shared" si="0"/>
        <v>0</v>
      </c>
      <c r="Q16" s="68">
        <f t="shared" si="0"/>
        <v>0</v>
      </c>
      <c r="R16" s="68">
        <f t="shared" si="0"/>
        <v>0</v>
      </c>
      <c r="S16" s="68">
        <f t="shared" si="0"/>
        <v>0</v>
      </c>
      <c r="T16" s="63">
        <f t="shared" si="0"/>
        <v>0</v>
      </c>
      <c r="U16" s="91"/>
    </row>
    <row r="17" spans="2:21" x14ac:dyDescent="0.2">
      <c r="B17" s="101" t="s">
        <v>404</v>
      </c>
      <c r="C17" s="114" t="s">
        <v>16</v>
      </c>
      <c r="D17" s="59">
        <v>8012</v>
      </c>
      <c r="E17" s="84" t="s">
        <v>46</v>
      </c>
      <c r="F17" s="80"/>
      <c r="G17" s="78">
        <f>IF(ISNA(VLOOKUP($G$5,'All Schools'!$C:$AJ,'All Schools'!N$8,FALSE)),0,VLOOKUP($G$5,'All Schools'!$C:$AJ,'All Schools'!N$8,FALSE))</f>
        <v>0</v>
      </c>
      <c r="I17" s="22">
        <f t="shared" si="0"/>
        <v>0</v>
      </c>
      <c r="J17" s="176">
        <f t="shared" si="0"/>
        <v>0</v>
      </c>
      <c r="K17" s="176">
        <f t="shared" si="0"/>
        <v>0</v>
      </c>
      <c r="L17" s="176">
        <f t="shared" si="0"/>
        <v>0</v>
      </c>
      <c r="M17" s="176">
        <f t="shared" si="0"/>
        <v>0</v>
      </c>
      <c r="N17" s="176">
        <f t="shared" si="0"/>
        <v>0</v>
      </c>
      <c r="O17" s="176">
        <f t="shared" si="0"/>
        <v>0</v>
      </c>
      <c r="P17" s="176">
        <f t="shared" si="0"/>
        <v>0</v>
      </c>
      <c r="Q17" s="176">
        <f t="shared" si="0"/>
        <v>0</v>
      </c>
      <c r="R17" s="176">
        <f t="shared" si="0"/>
        <v>0</v>
      </c>
      <c r="S17" s="176">
        <f t="shared" si="0"/>
        <v>0</v>
      </c>
      <c r="T17" s="63">
        <f t="shared" si="0"/>
        <v>0</v>
      </c>
      <c r="U17" s="91"/>
    </row>
    <row r="18" spans="2:21" x14ac:dyDescent="0.2">
      <c r="B18" s="101" t="s">
        <v>36</v>
      </c>
      <c r="C18" s="114" t="s">
        <v>16</v>
      </c>
      <c r="D18" s="59">
        <v>8012</v>
      </c>
      <c r="E18" s="84" t="s">
        <v>43</v>
      </c>
      <c r="F18" s="80"/>
      <c r="G18" s="78">
        <f>IF(ISNA(VLOOKUP($G$5,'All Schools'!$C:$AJ,'All Schools'!O$8,FALSE)),0,VLOOKUP($G$5,'All Schools'!$C:$AJ,'All Schools'!O$8,FALSE))</f>
        <v>0</v>
      </c>
      <c r="I18" s="20" t="s">
        <v>144</v>
      </c>
      <c r="J18" s="68" t="s">
        <v>144</v>
      </c>
      <c r="K18" s="68" t="s">
        <v>144</v>
      </c>
      <c r="L18" s="68" t="s">
        <v>144</v>
      </c>
      <c r="M18" s="68" t="s">
        <v>144</v>
      </c>
      <c r="N18" s="68" t="s">
        <v>144</v>
      </c>
      <c r="O18" s="68" t="s">
        <v>144</v>
      </c>
      <c r="P18" s="68" t="s">
        <v>144</v>
      </c>
      <c r="Q18" s="68" t="s">
        <v>144</v>
      </c>
      <c r="R18" s="68" t="s">
        <v>144</v>
      </c>
      <c r="S18" s="176" t="s">
        <v>144</v>
      </c>
      <c r="T18" s="63" t="s">
        <v>144</v>
      </c>
      <c r="U18" s="92"/>
    </row>
    <row r="19" spans="2:21" ht="23.65" customHeight="1" x14ac:dyDescent="0.2">
      <c r="B19" s="101" t="s">
        <v>37</v>
      </c>
      <c r="C19" s="114" t="s">
        <v>1</v>
      </c>
      <c r="D19" s="59">
        <v>8011</v>
      </c>
      <c r="E19" s="85" t="s">
        <v>48</v>
      </c>
      <c r="F19" s="80"/>
      <c r="G19" s="78">
        <f>IF(ISNA(VLOOKUP($G$5,'All Schools'!$C:$AJ,'All Schools'!P$8,FALSE)),0,VLOOKUP($G$5,'All Schools'!$C:$AJ,'All Schools'!P$8,FALSE))</f>
        <v>0</v>
      </c>
      <c r="I19" s="20" t="s">
        <v>144</v>
      </c>
      <c r="J19" s="68" t="s">
        <v>144</v>
      </c>
      <c r="K19" s="68" t="s">
        <v>144</v>
      </c>
      <c r="L19" s="68" t="s">
        <v>144</v>
      </c>
      <c r="M19" s="68" t="s">
        <v>144</v>
      </c>
      <c r="N19" s="68" t="s">
        <v>144</v>
      </c>
      <c r="O19" s="68" t="s">
        <v>144</v>
      </c>
      <c r="P19" s="68" t="s">
        <v>144</v>
      </c>
      <c r="Q19" s="68" t="s">
        <v>144</v>
      </c>
      <c r="R19" s="68" t="s">
        <v>144</v>
      </c>
      <c r="S19" s="68" t="s">
        <v>144</v>
      </c>
      <c r="T19" s="63" t="s">
        <v>144</v>
      </c>
      <c r="U19" s="92"/>
    </row>
    <row r="20" spans="2:21" x14ac:dyDescent="0.2">
      <c r="B20" s="101" t="s">
        <v>267</v>
      </c>
      <c r="C20" s="112" t="s">
        <v>32</v>
      </c>
      <c r="D20" s="59">
        <v>8016</v>
      </c>
      <c r="E20" s="84"/>
      <c r="F20" s="80"/>
      <c r="G20" s="78">
        <f>IF(ISNA(VLOOKUP($G$5,'All Schools'!$C:$AJ,'All Schools'!Q$8,FALSE)),0,VLOOKUP($G$5,'All Schools'!$C:$AJ,'All Schools'!Q$8,FALSE))</f>
        <v>18466</v>
      </c>
      <c r="I20" s="20">
        <f>ROUND(($G20/12),0)</f>
        <v>1539</v>
      </c>
      <c r="J20" s="68">
        <f t="shared" ref="J20:T21" si="2">ROUND(($G20/12),0)</f>
        <v>1539</v>
      </c>
      <c r="K20" s="68">
        <f t="shared" si="2"/>
        <v>1539</v>
      </c>
      <c r="L20" s="68">
        <f t="shared" si="2"/>
        <v>1539</v>
      </c>
      <c r="M20" s="68">
        <f t="shared" si="2"/>
        <v>1539</v>
      </c>
      <c r="N20" s="68">
        <f t="shared" si="2"/>
        <v>1539</v>
      </c>
      <c r="O20" s="68">
        <f t="shared" si="2"/>
        <v>1539</v>
      </c>
      <c r="P20" s="68">
        <f t="shared" si="2"/>
        <v>1539</v>
      </c>
      <c r="Q20" s="68">
        <f t="shared" si="2"/>
        <v>1539</v>
      </c>
      <c r="R20" s="68">
        <f t="shared" si="2"/>
        <v>1539</v>
      </c>
      <c r="S20" s="68">
        <f t="shared" si="2"/>
        <v>1539</v>
      </c>
      <c r="T20" s="63">
        <f t="shared" si="2"/>
        <v>1539</v>
      </c>
      <c r="U20" s="92"/>
    </row>
    <row r="21" spans="2:21" x14ac:dyDescent="0.2">
      <c r="B21" s="101" t="s">
        <v>123</v>
      </c>
      <c r="C21" s="112" t="s">
        <v>32</v>
      </c>
      <c r="D21" s="59">
        <v>8017</v>
      </c>
      <c r="E21" s="84"/>
      <c r="F21" s="80"/>
      <c r="G21" s="78">
        <f>IF(ISNA(VLOOKUP($G$5,'All Schools'!$C:$AJ,'All Schools'!R$8,FALSE)),0,VLOOKUP($G$5,'All Schools'!$C:$AJ,'All Schools'!R$8,FALSE))</f>
        <v>0</v>
      </c>
      <c r="I21" s="20">
        <f>ROUND(($G21/12),0)</f>
        <v>0</v>
      </c>
      <c r="J21" s="68">
        <f t="shared" si="2"/>
        <v>0</v>
      </c>
      <c r="K21" s="68">
        <f t="shared" si="2"/>
        <v>0</v>
      </c>
      <c r="L21" s="68">
        <f t="shared" si="2"/>
        <v>0</v>
      </c>
      <c r="M21" s="68">
        <f t="shared" si="2"/>
        <v>0</v>
      </c>
      <c r="N21" s="68">
        <f t="shared" si="2"/>
        <v>0</v>
      </c>
      <c r="O21" s="68">
        <f t="shared" si="2"/>
        <v>0</v>
      </c>
      <c r="P21" s="68">
        <f t="shared" si="2"/>
        <v>0</v>
      </c>
      <c r="Q21" s="68">
        <f t="shared" si="2"/>
        <v>0</v>
      </c>
      <c r="R21" s="68">
        <f t="shared" si="2"/>
        <v>0</v>
      </c>
      <c r="S21" s="68">
        <f t="shared" si="2"/>
        <v>0</v>
      </c>
      <c r="T21" s="63">
        <f t="shared" si="2"/>
        <v>0</v>
      </c>
      <c r="U21" s="92"/>
    </row>
    <row r="22" spans="2:21" x14ac:dyDescent="0.2">
      <c r="B22" s="101" t="s">
        <v>120</v>
      </c>
      <c r="C22" s="113" t="s">
        <v>2</v>
      </c>
      <c r="D22" s="67">
        <v>8004</v>
      </c>
      <c r="E22" s="84" t="s">
        <v>46</v>
      </c>
      <c r="F22" s="76">
        <f>IF(ISNA(VLOOKUP($G$5,'All Schools'!$C:$AJ,'All Schools'!S$8,FALSE)),0,VLOOKUP($G$5,'All Schools'!$C:$AJ,'All Schools'!S$8,FALSE))</f>
        <v>0</v>
      </c>
      <c r="G22" s="77"/>
      <c r="I22" s="20">
        <f t="shared" si="0"/>
        <v>0</v>
      </c>
      <c r="J22" s="68">
        <f t="shared" si="0"/>
        <v>0</v>
      </c>
      <c r="K22" s="68">
        <f t="shared" si="0"/>
        <v>0</v>
      </c>
      <c r="L22" s="68">
        <f t="shared" si="0"/>
        <v>0</v>
      </c>
      <c r="M22" s="68">
        <f t="shared" si="0"/>
        <v>0</v>
      </c>
      <c r="N22" s="68">
        <f t="shared" si="0"/>
        <v>0</v>
      </c>
      <c r="O22" s="68">
        <f t="shared" si="0"/>
        <v>0</v>
      </c>
      <c r="P22" s="68">
        <f t="shared" si="0"/>
        <v>0</v>
      </c>
      <c r="Q22" s="68">
        <f t="shared" si="0"/>
        <v>0</v>
      </c>
      <c r="R22" s="68">
        <f t="shared" si="0"/>
        <v>0</v>
      </c>
      <c r="S22" s="68">
        <f t="shared" si="0"/>
        <v>0</v>
      </c>
      <c r="T22" s="63">
        <f t="shared" ref="T22:T25" si="3">(F22+G22)-SUM(I22:S22)</f>
        <v>0</v>
      </c>
      <c r="U22" s="92"/>
    </row>
    <row r="23" spans="2:21" x14ac:dyDescent="0.2">
      <c r="B23" s="101" t="s">
        <v>121</v>
      </c>
      <c r="C23" s="113" t="s">
        <v>2</v>
      </c>
      <c r="D23" s="67">
        <v>8008</v>
      </c>
      <c r="E23" s="84" t="s">
        <v>46</v>
      </c>
      <c r="F23" s="76">
        <f>IF(ISNA(VLOOKUP($G$5,'All Schools'!$C:$AJ,'All Schools'!T$8,FALSE)),0,VLOOKUP($G$5,'All Schools'!$C:$AJ,'All Schools'!T$8,FALSE))</f>
        <v>0</v>
      </c>
      <c r="G23" s="77"/>
      <c r="I23" s="20">
        <f t="shared" si="0"/>
        <v>0</v>
      </c>
      <c r="J23" s="68">
        <f t="shared" si="0"/>
        <v>0</v>
      </c>
      <c r="K23" s="68">
        <f t="shared" si="0"/>
        <v>0</v>
      </c>
      <c r="L23" s="68">
        <f t="shared" si="0"/>
        <v>0</v>
      </c>
      <c r="M23" s="68">
        <f t="shared" si="0"/>
        <v>0</v>
      </c>
      <c r="N23" s="68">
        <f t="shared" si="0"/>
        <v>0</v>
      </c>
      <c r="O23" s="68">
        <f t="shared" si="0"/>
        <v>0</v>
      </c>
      <c r="P23" s="68">
        <f t="shared" si="0"/>
        <v>0</v>
      </c>
      <c r="Q23" s="68">
        <f t="shared" si="0"/>
        <v>0</v>
      </c>
      <c r="R23" s="68">
        <f t="shared" si="0"/>
        <v>0</v>
      </c>
      <c r="S23" s="68">
        <f t="shared" si="0"/>
        <v>0</v>
      </c>
      <c r="T23" s="63">
        <f t="shared" si="3"/>
        <v>0</v>
      </c>
      <c r="U23" s="92"/>
    </row>
    <row r="24" spans="2:21" x14ac:dyDescent="0.2">
      <c r="B24" s="101" t="s">
        <v>122</v>
      </c>
      <c r="C24" s="113" t="s">
        <v>2</v>
      </c>
      <c r="D24" s="67">
        <v>8004</v>
      </c>
      <c r="E24" s="84" t="s">
        <v>46</v>
      </c>
      <c r="F24" s="76">
        <f>IF(ISNA(VLOOKUP($G$5,'All Schools'!$C:$AJ,'All Schools'!U$8,FALSE)),0,VLOOKUP($G$5,'All Schools'!$C:$AJ,'All Schools'!U$8,FALSE))</f>
        <v>0</v>
      </c>
      <c r="G24" s="77"/>
      <c r="I24" s="20">
        <f t="shared" si="0"/>
        <v>0</v>
      </c>
      <c r="J24" s="68">
        <f t="shared" si="0"/>
        <v>0</v>
      </c>
      <c r="K24" s="68">
        <f t="shared" si="0"/>
        <v>0</v>
      </c>
      <c r="L24" s="68">
        <f t="shared" si="0"/>
        <v>0</v>
      </c>
      <c r="M24" s="68">
        <f t="shared" si="0"/>
        <v>0</v>
      </c>
      <c r="N24" s="68">
        <f t="shared" si="0"/>
        <v>0</v>
      </c>
      <c r="O24" s="68">
        <f t="shared" si="0"/>
        <v>0</v>
      </c>
      <c r="P24" s="68">
        <f t="shared" si="0"/>
        <v>0</v>
      </c>
      <c r="Q24" s="68">
        <f t="shared" si="0"/>
        <v>0</v>
      </c>
      <c r="R24" s="68">
        <f t="shared" si="0"/>
        <v>0</v>
      </c>
      <c r="S24" s="68">
        <f t="shared" si="0"/>
        <v>0</v>
      </c>
      <c r="T24" s="63">
        <f t="shared" si="3"/>
        <v>0</v>
      </c>
      <c r="U24" s="91"/>
    </row>
    <row r="25" spans="2:21" x14ac:dyDescent="0.2">
      <c r="B25" s="101" t="s">
        <v>269</v>
      </c>
      <c r="C25" s="114" t="s">
        <v>17</v>
      </c>
      <c r="D25" s="59">
        <v>8007</v>
      </c>
      <c r="E25" s="84" t="s">
        <v>46</v>
      </c>
      <c r="F25" s="76">
        <f>IF(ISNA(VLOOKUP($G$5,'All Schools'!$C:$AJ,'All Schools'!V$8,FALSE)),0,VLOOKUP($G$5,'All Schools'!$C:$AJ,'All Schools'!V$8,FALSE))</f>
        <v>146605</v>
      </c>
      <c r="G25" s="77"/>
      <c r="I25" s="20">
        <f t="shared" ref="I25:S29" si="4">ROUND(($F25/12),0)</f>
        <v>12217</v>
      </c>
      <c r="J25" s="68">
        <f t="shared" si="4"/>
        <v>12217</v>
      </c>
      <c r="K25" s="68">
        <f t="shared" si="4"/>
        <v>12217</v>
      </c>
      <c r="L25" s="68">
        <f t="shared" si="4"/>
        <v>12217</v>
      </c>
      <c r="M25" s="68">
        <f t="shared" si="4"/>
        <v>12217</v>
      </c>
      <c r="N25" s="68">
        <f t="shared" si="4"/>
        <v>12217</v>
      </c>
      <c r="O25" s="68">
        <f t="shared" si="4"/>
        <v>12217</v>
      </c>
      <c r="P25" s="68">
        <f t="shared" si="4"/>
        <v>12217</v>
      </c>
      <c r="Q25" s="68">
        <f t="shared" si="4"/>
        <v>12217</v>
      </c>
      <c r="R25" s="68">
        <f t="shared" si="4"/>
        <v>12217</v>
      </c>
      <c r="S25" s="68">
        <f t="shared" si="4"/>
        <v>12217</v>
      </c>
      <c r="T25" s="63">
        <f t="shared" si="3"/>
        <v>12218</v>
      </c>
      <c r="U25" s="91"/>
    </row>
    <row r="26" spans="2:21" s="226" customFormat="1" x14ac:dyDescent="0.2">
      <c r="B26" s="104" t="s">
        <v>306</v>
      </c>
      <c r="C26" s="112" t="s">
        <v>32</v>
      </c>
      <c r="D26" s="280">
        <v>8000</v>
      </c>
      <c r="E26" s="229" t="s">
        <v>363</v>
      </c>
      <c r="F26" s="230"/>
      <c r="G26" s="78">
        <f>IF(ISNA(VLOOKUP($G$5,'All Schools'!$C:$AJ,'All Schools'!W$8,FALSE)),0,VLOOKUP($G$5,'All Schools'!$C:$AJ,'All Schools'!W$8,FALSE))</f>
        <v>33845.705600000001</v>
      </c>
      <c r="I26" s="266">
        <f t="shared" ref="I26:T26" si="5">ROUND(($G26/12),0)</f>
        <v>2820</v>
      </c>
      <c r="J26" s="266">
        <f t="shared" si="5"/>
        <v>2820</v>
      </c>
      <c r="K26" s="266">
        <f t="shared" si="5"/>
        <v>2820</v>
      </c>
      <c r="L26" s="266">
        <f t="shared" si="5"/>
        <v>2820</v>
      </c>
      <c r="M26" s="266">
        <f t="shared" si="5"/>
        <v>2820</v>
      </c>
      <c r="N26" s="266">
        <f t="shared" si="5"/>
        <v>2820</v>
      </c>
      <c r="O26" s="266">
        <f t="shared" si="5"/>
        <v>2820</v>
      </c>
      <c r="P26" s="266">
        <f t="shared" si="5"/>
        <v>2820</v>
      </c>
      <c r="Q26" s="266">
        <f t="shared" si="5"/>
        <v>2820</v>
      </c>
      <c r="R26" s="266">
        <f t="shared" si="5"/>
        <v>2820</v>
      </c>
      <c r="S26" s="266">
        <f t="shared" si="5"/>
        <v>2820</v>
      </c>
      <c r="T26" s="270">
        <f t="shared" si="5"/>
        <v>2820</v>
      </c>
      <c r="U26" s="91"/>
    </row>
    <row r="27" spans="2:21" s="226" customFormat="1" x14ac:dyDescent="0.2">
      <c r="B27" s="104" t="s">
        <v>168</v>
      </c>
      <c r="C27" s="228">
        <v>101</v>
      </c>
      <c r="D27" s="280">
        <v>8000</v>
      </c>
      <c r="E27" s="229" t="s">
        <v>405</v>
      </c>
      <c r="F27" s="230"/>
      <c r="G27" s="78">
        <f>IF(ISNA(VLOOKUP($G$5,'All Schools'!$C:$AJ,'All Schools'!X$8,FALSE)),0,VLOOKUP($G$5,'All Schools'!$C:$AJ,'All Schools'!X$8,FALSE))</f>
        <v>0</v>
      </c>
      <c r="I27" s="266">
        <v>0</v>
      </c>
      <c r="J27" s="266">
        <f>ROUND(($G27/12*5),0)</f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f>ROUND(($G27/12*7),0)</f>
        <v>0</v>
      </c>
      <c r="P27" s="266">
        <v>0</v>
      </c>
      <c r="Q27" s="266">
        <v>0</v>
      </c>
      <c r="R27" s="266">
        <v>0</v>
      </c>
      <c r="S27" s="266">
        <v>0</v>
      </c>
      <c r="T27" s="270">
        <v>0</v>
      </c>
      <c r="U27" s="91"/>
    </row>
    <row r="28" spans="2:21" s="226" customFormat="1" x14ac:dyDescent="0.2">
      <c r="B28" s="104" t="s">
        <v>307</v>
      </c>
      <c r="C28" s="228" t="s">
        <v>308</v>
      </c>
      <c r="D28" s="280">
        <v>8000</v>
      </c>
      <c r="E28" s="229" t="s">
        <v>405</v>
      </c>
      <c r="F28" s="230"/>
      <c r="G28" s="78">
        <f>IF(ISNA(VLOOKUP($G$5,'All Schools'!$C:$AJ,'All Schools'!Y$8,FALSE)),0,VLOOKUP($G$5,'All Schools'!$C:$AJ,'All Schools'!Y$8,FALSE))</f>
        <v>0</v>
      </c>
      <c r="I28" s="266">
        <v>0</v>
      </c>
      <c r="J28" s="266">
        <f>ROUND(($G28/12*5),0)</f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f>ROUND(($G28/12*7),0)</f>
        <v>0</v>
      </c>
      <c r="P28" s="266">
        <v>0</v>
      </c>
      <c r="Q28" s="266">
        <v>0</v>
      </c>
      <c r="R28" s="266">
        <v>0</v>
      </c>
      <c r="S28" s="266">
        <v>0</v>
      </c>
      <c r="T28" s="270">
        <v>0</v>
      </c>
      <c r="U28" s="91"/>
    </row>
    <row r="29" spans="2:21" x14ac:dyDescent="0.2">
      <c r="B29" s="186" t="s">
        <v>268</v>
      </c>
      <c r="C29" s="187" t="s">
        <v>2</v>
      </c>
      <c r="D29" s="188">
        <v>8008</v>
      </c>
      <c r="E29" s="189" t="s">
        <v>46</v>
      </c>
      <c r="F29" s="190">
        <f>IF(ISNA(VLOOKUP($G$5,'All Schools'!$C:$AJ,'All Schools'!Z$8,FALSE)),0,VLOOKUP($G$5,'All Schools'!$C:$AJ,'All Schools'!Z$8,FALSE))</f>
        <v>0</v>
      </c>
      <c r="G29" s="191"/>
      <c r="I29" s="177">
        <f t="shared" si="4"/>
        <v>0</v>
      </c>
      <c r="J29" s="178">
        <f t="shared" si="4"/>
        <v>0</v>
      </c>
      <c r="K29" s="178">
        <f t="shared" si="4"/>
        <v>0</v>
      </c>
      <c r="L29" s="178">
        <f t="shared" si="4"/>
        <v>0</v>
      </c>
      <c r="M29" s="178">
        <f t="shared" si="4"/>
        <v>0</v>
      </c>
      <c r="N29" s="178">
        <f t="shared" si="4"/>
        <v>0</v>
      </c>
      <c r="O29" s="178">
        <f t="shared" si="4"/>
        <v>0</v>
      </c>
      <c r="P29" s="178">
        <f t="shared" si="4"/>
        <v>0</v>
      </c>
      <c r="Q29" s="178">
        <f t="shared" si="4"/>
        <v>0</v>
      </c>
      <c r="R29" s="178">
        <f t="shared" si="4"/>
        <v>0</v>
      </c>
      <c r="S29" s="178">
        <f t="shared" si="4"/>
        <v>0</v>
      </c>
      <c r="T29" s="179">
        <f t="shared" ref="T29" si="6">(F29+G29)-SUM(I29:S29)</f>
        <v>0</v>
      </c>
      <c r="U29" s="91"/>
    </row>
    <row r="31" spans="2:21" x14ac:dyDescent="0.2">
      <c r="B31" s="102" t="s">
        <v>21</v>
      </c>
      <c r="C31" s="86"/>
      <c r="D31" s="60"/>
      <c r="E31" s="86"/>
      <c r="F31" s="81">
        <f>SUM(F9:F30)</f>
        <v>1230599.5928519305</v>
      </c>
      <c r="G31" s="81">
        <f>SUM(G9:G30)</f>
        <v>73589.486421917813</v>
      </c>
      <c r="I31" s="81">
        <f t="shared" ref="I31:T31" si="7">SUM(I9:I30)</f>
        <v>108682</v>
      </c>
      <c r="J31" s="81">
        <f t="shared" si="7"/>
        <v>108682</v>
      </c>
      <c r="K31" s="81">
        <f t="shared" si="7"/>
        <v>108682</v>
      </c>
      <c r="L31" s="81">
        <f t="shared" si="7"/>
        <v>108682</v>
      </c>
      <c r="M31" s="81">
        <f t="shared" si="7"/>
        <v>108682</v>
      </c>
      <c r="N31" s="81">
        <f t="shared" si="7"/>
        <v>108682</v>
      </c>
      <c r="O31" s="81">
        <f t="shared" si="7"/>
        <v>108682</v>
      </c>
      <c r="P31" s="89">
        <f t="shared" si="7"/>
        <v>108682</v>
      </c>
      <c r="Q31" s="89">
        <f t="shared" si="7"/>
        <v>108682</v>
      </c>
      <c r="R31" s="89">
        <f t="shared" si="7"/>
        <v>108682</v>
      </c>
      <c r="S31" s="89">
        <f t="shared" si="7"/>
        <v>108682</v>
      </c>
      <c r="T31" s="24">
        <f t="shared" si="7"/>
        <v>108681.59285193053</v>
      </c>
      <c r="U31" s="91"/>
    </row>
    <row r="32" spans="2:21" x14ac:dyDescent="0.2">
      <c r="B32" s="25"/>
    </row>
    <row r="33" spans="2:20" ht="13.5" thickBot="1" x14ac:dyDescent="0.25">
      <c r="B33" s="25"/>
    </row>
    <row r="34" spans="2:20" ht="26.25" customHeight="1" x14ac:dyDescent="0.2">
      <c r="B34" s="103"/>
      <c r="C34" s="115" t="s">
        <v>20</v>
      </c>
      <c r="D34" s="116"/>
      <c r="E34" s="106" t="s">
        <v>24</v>
      </c>
      <c r="F34" s="17" t="str">
        <f>+F8</f>
        <v>Monthly Funding/Grant</v>
      </c>
      <c r="G34" s="18" t="str">
        <f>+G8</f>
        <v>Other Funding/Grant</v>
      </c>
      <c r="I34" s="281" t="s">
        <v>149</v>
      </c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3"/>
    </row>
    <row r="35" spans="2:20" x14ac:dyDescent="0.2">
      <c r="B35" s="100" t="s">
        <v>25</v>
      </c>
      <c r="C35" s="117" t="s">
        <v>1</v>
      </c>
      <c r="D35" s="118"/>
      <c r="E35" s="107">
        <f>SUM(F35:G35)</f>
        <v>1083994.5928519305</v>
      </c>
      <c r="F35" s="20">
        <f t="shared" ref="F35:F42" si="8">SUMIF($C$9:$C$30,C35,$F$9:$F$30)</f>
        <v>1083994.5928519305</v>
      </c>
      <c r="G35" s="63">
        <f t="shared" ref="G35:G42" si="9">SUMIF($C$9:$C$30,C35,$G$9:$G$30)</f>
        <v>0</v>
      </c>
      <c r="I35" s="284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6"/>
    </row>
    <row r="36" spans="2:20" x14ac:dyDescent="0.2">
      <c r="B36" s="101" t="s">
        <v>26</v>
      </c>
      <c r="C36" s="119" t="s">
        <v>2</v>
      </c>
      <c r="D36" s="120"/>
      <c r="E36" s="108">
        <f>SUM(F36:G36)</f>
        <v>0</v>
      </c>
      <c r="F36" s="22">
        <f t="shared" si="8"/>
        <v>0</v>
      </c>
      <c r="G36" s="23">
        <f t="shared" si="9"/>
        <v>0</v>
      </c>
      <c r="I36" s="284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6"/>
    </row>
    <row r="37" spans="2:20" x14ac:dyDescent="0.2">
      <c r="B37" s="101" t="s">
        <v>27</v>
      </c>
      <c r="C37" s="119" t="s">
        <v>16</v>
      </c>
      <c r="D37" s="120"/>
      <c r="E37" s="108">
        <f t="shared" ref="E37:E43" si="10">SUM(F37:G37)</f>
        <v>21277.780821917811</v>
      </c>
      <c r="F37" s="22">
        <f t="shared" si="8"/>
        <v>0</v>
      </c>
      <c r="G37" s="23">
        <f t="shared" si="9"/>
        <v>21277.780821917811</v>
      </c>
      <c r="I37" s="284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6"/>
    </row>
    <row r="38" spans="2:20" ht="12.75" customHeight="1" x14ac:dyDescent="0.2">
      <c r="B38" s="101" t="s">
        <v>28</v>
      </c>
      <c r="C38" s="119" t="s">
        <v>33</v>
      </c>
      <c r="D38" s="120"/>
      <c r="E38" s="108">
        <f t="shared" si="10"/>
        <v>0</v>
      </c>
      <c r="F38" s="22">
        <f t="shared" si="8"/>
        <v>0</v>
      </c>
      <c r="G38" s="23">
        <f t="shared" si="9"/>
        <v>0</v>
      </c>
      <c r="I38" s="284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6"/>
    </row>
    <row r="39" spans="2:20" x14ac:dyDescent="0.2">
      <c r="B39" s="101" t="s">
        <v>29</v>
      </c>
      <c r="C39" s="119" t="s">
        <v>17</v>
      </c>
      <c r="D39" s="120"/>
      <c r="E39" s="108">
        <f t="shared" si="10"/>
        <v>146605</v>
      </c>
      <c r="F39" s="22">
        <f t="shared" si="8"/>
        <v>146605</v>
      </c>
      <c r="G39" s="23">
        <f t="shared" si="9"/>
        <v>0</v>
      </c>
      <c r="I39" s="284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6"/>
    </row>
    <row r="40" spans="2:20" ht="12.75" customHeight="1" x14ac:dyDescent="0.2">
      <c r="B40" s="101" t="s">
        <v>30</v>
      </c>
      <c r="C40" s="119" t="s">
        <v>18</v>
      </c>
      <c r="D40" s="120"/>
      <c r="E40" s="108">
        <f t="shared" si="10"/>
        <v>0</v>
      </c>
      <c r="F40" s="22">
        <f t="shared" si="8"/>
        <v>0</v>
      </c>
      <c r="G40" s="23">
        <f t="shared" si="9"/>
        <v>0</v>
      </c>
      <c r="I40" s="284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6"/>
    </row>
    <row r="41" spans="2:20" ht="12.75" customHeight="1" x14ac:dyDescent="0.2">
      <c r="B41" s="101" t="s">
        <v>34</v>
      </c>
      <c r="C41" s="119" t="s">
        <v>32</v>
      </c>
      <c r="D41" s="120"/>
      <c r="E41" s="108">
        <f t="shared" si="10"/>
        <v>52311.705600000001</v>
      </c>
      <c r="F41" s="22">
        <f t="shared" si="8"/>
        <v>0</v>
      </c>
      <c r="G41" s="23">
        <f t="shared" si="9"/>
        <v>52311.705600000001</v>
      </c>
      <c r="I41" s="284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6"/>
    </row>
    <row r="42" spans="2:20" ht="12.75" hidden="1" customHeight="1" x14ac:dyDescent="0.2">
      <c r="B42" s="104" t="s">
        <v>31</v>
      </c>
      <c r="C42" s="121" t="s">
        <v>19</v>
      </c>
      <c r="D42" s="122"/>
      <c r="E42" s="109">
        <f t="shared" si="10"/>
        <v>0</v>
      </c>
      <c r="F42" s="26">
        <f t="shared" si="8"/>
        <v>0</v>
      </c>
      <c r="G42" s="62">
        <f t="shared" si="9"/>
        <v>0</v>
      </c>
      <c r="I42" s="284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6"/>
    </row>
    <row r="43" spans="2:20" ht="12.75" hidden="1" customHeight="1" x14ac:dyDescent="0.2">
      <c r="B43" s="105" t="s">
        <v>124</v>
      </c>
      <c r="C43" s="123"/>
      <c r="D43" s="124"/>
      <c r="E43" s="108" t="e">
        <f t="shared" si="10"/>
        <v>#REF!</v>
      </c>
      <c r="F43" s="87" t="e">
        <f>SUM(#REF!)</f>
        <v>#REF!</v>
      </c>
      <c r="G43" s="88"/>
      <c r="I43" s="284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6"/>
    </row>
    <row r="44" spans="2:20" ht="13.5" thickBot="1" x14ac:dyDescent="0.25">
      <c r="B44" s="103"/>
      <c r="C44" s="125" t="s">
        <v>22</v>
      </c>
      <c r="D44" s="126"/>
      <c r="E44" s="110">
        <f>SUM(E35:E41)</f>
        <v>1304189.0792738483</v>
      </c>
      <c r="F44" s="110">
        <f t="shared" ref="F44:G44" si="11">SUM(F35:F41)</f>
        <v>1230599.5928519305</v>
      </c>
      <c r="G44" s="110">
        <f t="shared" si="11"/>
        <v>73589.486421917813</v>
      </c>
      <c r="I44" s="287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9"/>
    </row>
    <row r="45" spans="2:20" ht="12.75" customHeight="1" x14ac:dyDescent="0.2">
      <c r="B45" s="69"/>
      <c r="C45" s="70"/>
      <c r="D45" s="70"/>
    </row>
    <row r="46" spans="2:20" ht="18" x14ac:dyDescent="0.25">
      <c r="B46" s="71" t="s">
        <v>146</v>
      </c>
      <c r="C46" s="72"/>
      <c r="D46" s="73"/>
    </row>
    <row r="47" spans="2:20" x14ac:dyDescent="0.2">
      <c r="B47" s="74"/>
      <c r="C47" s="70"/>
      <c r="D47" s="70"/>
    </row>
    <row r="48" spans="2:20" x14ac:dyDescent="0.2">
      <c r="B48" s="137" t="s">
        <v>270</v>
      </c>
      <c r="C48" s="70"/>
      <c r="D48" s="70"/>
    </row>
    <row r="49" spans="2:7" x14ac:dyDescent="0.2">
      <c r="B49" s="265" t="s">
        <v>147</v>
      </c>
      <c r="C49" s="70"/>
      <c r="D49" s="70"/>
    </row>
    <row r="50" spans="2:7" x14ac:dyDescent="0.2">
      <c r="B50" s="74"/>
      <c r="C50" s="70"/>
      <c r="D50" s="70"/>
    </row>
    <row r="51" spans="2:7" x14ac:dyDescent="0.2">
      <c r="B51" s="74" t="s">
        <v>148</v>
      </c>
      <c r="C51" s="70"/>
      <c r="D51" s="70"/>
    </row>
    <row r="52" spans="2:7" x14ac:dyDescent="0.2">
      <c r="B52" s="265" t="s">
        <v>362</v>
      </c>
      <c r="C52" s="70"/>
      <c r="D52" s="70"/>
    </row>
    <row r="53" spans="2:7" x14ac:dyDescent="0.2">
      <c r="B53" s="74"/>
      <c r="C53" s="70"/>
      <c r="D53" s="70"/>
    </row>
    <row r="54" spans="2:7" x14ac:dyDescent="0.2">
      <c r="B54" s="74" t="s">
        <v>360</v>
      </c>
      <c r="C54" s="70"/>
      <c r="D54" s="70"/>
    </row>
    <row r="55" spans="2:7" x14ac:dyDescent="0.2">
      <c r="B55" s="265" t="s">
        <v>361</v>
      </c>
      <c r="C55" s="70"/>
      <c r="D55" s="70"/>
    </row>
    <row r="56" spans="2:7" x14ac:dyDescent="0.2">
      <c r="B56" s="74"/>
      <c r="C56" s="70"/>
      <c r="D56" s="70"/>
    </row>
    <row r="57" spans="2:7" x14ac:dyDescent="0.2">
      <c r="B57" s="74"/>
      <c r="C57" s="70"/>
      <c r="D57" s="70"/>
    </row>
    <row r="58" spans="2:7" x14ac:dyDescent="0.2">
      <c r="B58" s="226"/>
      <c r="C58" s="70"/>
      <c r="D58" s="70"/>
    </row>
    <row r="59" spans="2:7" x14ac:dyDescent="0.2">
      <c r="B59" s="265"/>
      <c r="C59" s="70"/>
      <c r="D59" s="70"/>
    </row>
    <row r="60" spans="2:7" x14ac:dyDescent="0.2">
      <c r="B60" s="74"/>
      <c r="C60" s="70"/>
      <c r="D60" s="70"/>
    </row>
    <row r="61" spans="2:7" x14ac:dyDescent="0.2">
      <c r="B61" s="74"/>
      <c r="C61" s="70"/>
      <c r="D61" s="70"/>
    </row>
    <row r="62" spans="2:7" x14ac:dyDescent="0.2">
      <c r="B62" s="74"/>
      <c r="C62" s="70"/>
      <c r="D62" s="70"/>
    </row>
    <row r="63" spans="2:7" x14ac:dyDescent="0.2">
      <c r="B63" s="74"/>
      <c r="C63" s="70"/>
      <c r="D63" s="70"/>
    </row>
    <row r="64" spans="2:7" x14ac:dyDescent="0.2">
      <c r="B64" s="134"/>
      <c r="C64" s="135"/>
      <c r="D64" s="135"/>
      <c r="E64" s="135"/>
      <c r="F64" s="134"/>
      <c r="G64" s="134"/>
    </row>
    <row r="65" spans="2:7" x14ac:dyDescent="0.2">
      <c r="B65" s="134"/>
      <c r="C65" s="135"/>
      <c r="D65" s="135"/>
      <c r="E65" s="135"/>
      <c r="F65" s="134"/>
      <c r="G65" s="134"/>
    </row>
  </sheetData>
  <mergeCells count="1">
    <mergeCell ref="I34:T44"/>
  </mergeCells>
  <phoneticPr fontId="25" type="noConversion"/>
  <hyperlinks>
    <hyperlink ref="B49" r:id="rId1" xr:uid="{F1C609D4-2732-4DBE-B553-1E0465F41D09}"/>
    <hyperlink ref="B55" r:id="rId2" display="https://www.gov.uk/government/publications/schools-supplementary-grant-2022-to-2023" xr:uid="{C0212F74-258A-4046-B862-004E926EBDD2}"/>
    <hyperlink ref="B52" r:id="rId3" display="https://www.gov.uk/guidance/16-to-19-funding-information-for-2021-to-2022" xr:uid="{39C7C08A-4280-439E-8396-EE76FB7BAFE7}"/>
  </hyperlinks>
  <pageMargins left="0.11811023622047245" right="0.11811023622047245" top="0.74803149606299213" bottom="0.74803149606299213" header="0.31496062992125984" footer="0.31496062992125984"/>
  <pageSetup paperSize="9" scale="62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'All Schools'!$D$13:$D$90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21"/>
  <sheetViews>
    <sheetView showGridLines="0" zoomScale="70" zoomScaleNormal="70" workbookViewId="0">
      <pane xSplit="4" ySplit="12" topLeftCell="O83" activePane="bottomRight" state="frozen"/>
      <selection pane="topRight" activeCell="E1" sqref="E1"/>
      <selection pane="bottomLeft" activeCell="A13" sqref="A13"/>
      <selection pane="bottomRight" activeCell="E129" sqref="E129"/>
    </sheetView>
  </sheetViews>
  <sheetFormatPr defaultColWidth="11.140625" defaultRowHeight="15" x14ac:dyDescent="0.25"/>
  <cols>
    <col min="1" max="1" width="55.42578125" style="28" hidden="1" customWidth="1"/>
    <col min="2" max="2" width="11.140625" style="28" hidden="1" customWidth="1"/>
    <col min="3" max="3" width="11.140625" style="28"/>
    <col min="4" max="4" width="48.28515625" style="28" bestFit="1" customWidth="1"/>
    <col min="5" max="5" width="15" style="28" customWidth="1"/>
    <col min="6" max="6" width="11.140625" style="28"/>
    <col min="7" max="7" width="13.42578125" style="28" customWidth="1"/>
    <col min="8" max="8" width="13.7109375" style="28" customWidth="1"/>
    <col min="9" max="9" width="17.28515625" style="28" customWidth="1"/>
    <col min="10" max="10" width="19.28515625" style="37" customWidth="1"/>
    <col min="11" max="11" width="11.140625" style="28" customWidth="1"/>
    <col min="12" max="12" width="14.5703125" style="28" customWidth="1"/>
    <col min="13" max="13" width="20" style="28" customWidth="1"/>
    <col min="14" max="14" width="17.140625" style="28" customWidth="1"/>
    <col min="15" max="15" width="11.140625" style="28" customWidth="1"/>
    <col min="16" max="19" width="16.28515625" style="28" customWidth="1"/>
    <col min="20" max="21" width="11.140625" style="28" customWidth="1"/>
    <col min="22" max="22" width="14.140625" style="28" customWidth="1"/>
    <col min="23" max="23" width="12.85546875" style="28" customWidth="1"/>
    <col min="24" max="24" width="13" style="28" customWidth="1"/>
    <col min="25" max="25" width="12.7109375" style="28" customWidth="1"/>
    <col min="26" max="26" width="11.140625" style="28"/>
    <col min="27" max="27" width="15.140625" style="28" customWidth="1"/>
    <col min="28" max="28" width="11.140625" style="28"/>
    <col min="29" max="29" width="15.7109375" style="28" customWidth="1"/>
    <col min="30" max="33" width="11.140625" style="28"/>
    <col min="34" max="34" width="11.140625" style="37"/>
    <col min="35" max="35" width="11.140625" style="28"/>
    <col min="36" max="36" width="11.140625" style="37"/>
    <col min="37" max="16384" width="11.140625" style="28"/>
  </cols>
  <sheetData>
    <row r="1" spans="1:36" ht="23.25" x14ac:dyDescent="0.35">
      <c r="A1" s="27"/>
      <c r="C1" s="29"/>
      <c r="D1" s="292" t="s">
        <v>150</v>
      </c>
      <c r="E1" s="293"/>
      <c r="F1" s="293"/>
      <c r="G1" s="293"/>
      <c r="H1" s="27"/>
      <c r="I1" s="27"/>
      <c r="J1" s="27"/>
      <c r="K1" s="51"/>
      <c r="AH1" s="28"/>
      <c r="AJ1" s="28"/>
    </row>
    <row r="2" spans="1:36" x14ac:dyDescent="0.25">
      <c r="C2" s="2"/>
      <c r="J2" s="28"/>
      <c r="K2" s="51"/>
      <c r="L2" s="51"/>
      <c r="M2" s="38"/>
      <c r="N2" s="30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3"/>
      <c r="AF2" s="53"/>
      <c r="AG2" s="53"/>
      <c r="AH2" s="53"/>
      <c r="AI2" s="53"/>
      <c r="AJ2" s="53"/>
    </row>
    <row r="3" spans="1:36" x14ac:dyDescent="0.25">
      <c r="C3" s="2"/>
      <c r="J3" s="28"/>
      <c r="K3" s="51"/>
      <c r="L3" s="51"/>
      <c r="M3" s="38"/>
      <c r="N3" s="30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3"/>
      <c r="AF3" s="53"/>
      <c r="AG3" s="53"/>
      <c r="AH3" s="53"/>
      <c r="AI3" s="53"/>
      <c r="AJ3" s="53"/>
    </row>
    <row r="4" spans="1:36" x14ac:dyDescent="0.25">
      <c r="C4" s="2"/>
      <c r="E4" s="37"/>
      <c r="F4" s="37"/>
      <c r="G4" s="37"/>
      <c r="H4" s="37"/>
      <c r="I4" s="37"/>
      <c r="J4" s="28"/>
      <c r="K4" s="51"/>
      <c r="L4" s="51"/>
      <c r="M4" s="38"/>
      <c r="N4" s="30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3"/>
      <c r="AF4" s="53"/>
      <c r="AG4" s="53"/>
      <c r="AH4" s="53"/>
      <c r="AI4" s="53"/>
      <c r="AJ4" s="53"/>
    </row>
    <row r="5" spans="1:36" x14ac:dyDescent="0.25">
      <c r="C5" s="3"/>
      <c r="D5" s="34"/>
      <c r="E5" s="34"/>
      <c r="F5" s="34"/>
      <c r="G5" s="34"/>
      <c r="H5" s="34"/>
      <c r="I5" s="34"/>
      <c r="J5" s="34"/>
      <c r="K5" s="51"/>
      <c r="L5" s="51"/>
      <c r="M5" s="38"/>
      <c r="N5" s="30"/>
      <c r="O5" s="52"/>
      <c r="P5" s="54"/>
      <c r="Q5" s="52"/>
      <c r="R5" s="52"/>
      <c r="S5" s="52"/>
      <c r="T5" s="52"/>
      <c r="U5" s="52"/>
      <c r="V5" s="52"/>
      <c r="W5" s="52"/>
      <c r="X5" s="279"/>
      <c r="Y5" s="52"/>
      <c r="Z5" s="52"/>
      <c r="AA5" s="52"/>
      <c r="AB5" s="52"/>
      <c r="AC5" s="52"/>
      <c r="AD5" s="52"/>
      <c r="AE5" s="53"/>
      <c r="AF5" s="53"/>
      <c r="AG5" s="53"/>
      <c r="AH5" s="53"/>
      <c r="AI5" s="53"/>
      <c r="AJ5" s="53"/>
    </row>
    <row r="6" spans="1:36" x14ac:dyDescent="0.25">
      <c r="C6" s="3"/>
      <c r="J6" s="28"/>
      <c r="K6" s="51"/>
      <c r="L6" s="51"/>
      <c r="M6" s="38"/>
      <c r="N6" s="30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3"/>
      <c r="AF6" s="53"/>
      <c r="AG6" s="53"/>
      <c r="AH6" s="53"/>
      <c r="AI6" s="53"/>
      <c r="AJ6" s="53"/>
    </row>
    <row r="7" spans="1:36" x14ac:dyDescent="0.25">
      <c r="A7" s="34"/>
      <c r="C7" s="3"/>
      <c r="D7" s="34"/>
      <c r="E7" s="34"/>
      <c r="F7" s="34"/>
      <c r="G7" s="34"/>
      <c r="H7" s="32"/>
      <c r="I7" s="33"/>
      <c r="J7" s="30"/>
      <c r="K7" s="30"/>
      <c r="L7" s="294" t="s">
        <v>401</v>
      </c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30"/>
      <c r="AI7" s="30"/>
      <c r="AJ7" s="30"/>
    </row>
    <row r="8" spans="1:36" s="94" customFormat="1" x14ac:dyDescent="0.25">
      <c r="A8" s="66"/>
      <c r="B8" s="66"/>
      <c r="C8" s="93">
        <v>1</v>
      </c>
      <c r="D8" s="94">
        <f>1+C8</f>
        <v>2</v>
      </c>
      <c r="E8" s="94">
        <f>1+D8</f>
        <v>3</v>
      </c>
      <c r="F8" s="94">
        <f>1+E8</f>
        <v>4</v>
      </c>
      <c r="G8" s="94">
        <f>1+F8</f>
        <v>5</v>
      </c>
      <c r="H8" s="94">
        <f t="shared" ref="H8:AJ8" si="0">1+G8</f>
        <v>6</v>
      </c>
      <c r="I8" s="94">
        <f t="shared" si="0"/>
        <v>7</v>
      </c>
      <c r="J8" s="94">
        <f t="shared" si="0"/>
        <v>8</v>
      </c>
      <c r="K8" s="94">
        <f t="shared" si="0"/>
        <v>9</v>
      </c>
      <c r="L8" s="94">
        <f t="shared" si="0"/>
        <v>10</v>
      </c>
      <c r="M8" s="94">
        <f t="shared" si="0"/>
        <v>11</v>
      </c>
      <c r="N8" s="94">
        <f t="shared" si="0"/>
        <v>12</v>
      </c>
      <c r="O8" s="94">
        <f t="shared" si="0"/>
        <v>13</v>
      </c>
      <c r="P8" s="94">
        <f t="shared" si="0"/>
        <v>14</v>
      </c>
      <c r="Q8" s="94">
        <f t="shared" si="0"/>
        <v>15</v>
      </c>
      <c r="R8" s="94">
        <f t="shared" si="0"/>
        <v>16</v>
      </c>
      <c r="S8" s="94">
        <f t="shared" ref="S8:AG8" si="1">1+R8</f>
        <v>17</v>
      </c>
      <c r="T8" s="94">
        <f t="shared" si="1"/>
        <v>18</v>
      </c>
      <c r="U8" s="94">
        <f t="shared" si="1"/>
        <v>19</v>
      </c>
      <c r="V8" s="94">
        <f t="shared" si="1"/>
        <v>20</v>
      </c>
      <c r="W8" s="94">
        <f t="shared" ref="W8" si="2">1+V8</f>
        <v>21</v>
      </c>
      <c r="X8" s="94">
        <f t="shared" ref="X8" si="3">1+W8</f>
        <v>22</v>
      </c>
      <c r="Y8" s="94">
        <f t="shared" ref="Y8" si="4">1+X8</f>
        <v>23</v>
      </c>
      <c r="Z8" s="94">
        <f t="shared" ref="Z8" si="5">1+Y8</f>
        <v>24</v>
      </c>
      <c r="AA8" s="94">
        <f t="shared" si="1"/>
        <v>25</v>
      </c>
      <c r="AB8" s="94">
        <f>1+AA8</f>
        <v>26</v>
      </c>
      <c r="AC8" s="94">
        <f t="shared" si="1"/>
        <v>27</v>
      </c>
      <c r="AD8" s="94">
        <f t="shared" si="1"/>
        <v>28</v>
      </c>
      <c r="AE8" s="94">
        <f t="shared" si="1"/>
        <v>29</v>
      </c>
      <c r="AF8" s="94">
        <f t="shared" si="1"/>
        <v>30</v>
      </c>
      <c r="AG8" s="94">
        <f t="shared" si="1"/>
        <v>31</v>
      </c>
      <c r="AH8" s="94">
        <f>1+AF8</f>
        <v>31</v>
      </c>
      <c r="AI8" s="94">
        <f t="shared" si="0"/>
        <v>32</v>
      </c>
      <c r="AJ8" s="94">
        <f t="shared" si="0"/>
        <v>33</v>
      </c>
    </row>
    <row r="9" spans="1:36" s="42" customFormat="1" ht="18.75" x14ac:dyDescent="0.3">
      <c r="A9" s="41" t="s">
        <v>0</v>
      </c>
      <c r="C9" s="43"/>
      <c r="D9" s="41" t="s">
        <v>0</v>
      </c>
      <c r="E9" s="41"/>
      <c r="F9" s="41"/>
      <c r="G9" s="41"/>
      <c r="H9" s="55" t="s">
        <v>1</v>
      </c>
      <c r="I9" s="55" t="s">
        <v>1</v>
      </c>
      <c r="J9" s="56"/>
      <c r="K9" s="56"/>
      <c r="L9" s="55" t="s">
        <v>16</v>
      </c>
      <c r="M9" s="55" t="s">
        <v>16</v>
      </c>
      <c r="N9" s="55" t="s">
        <v>16</v>
      </c>
      <c r="O9" s="55" t="s">
        <v>16</v>
      </c>
      <c r="P9" s="55" t="s">
        <v>1</v>
      </c>
      <c r="Q9" s="55" t="s">
        <v>32</v>
      </c>
      <c r="R9" s="55" t="s">
        <v>32</v>
      </c>
      <c r="S9" s="57" t="s">
        <v>2</v>
      </c>
      <c r="T9" s="57" t="s">
        <v>2</v>
      </c>
      <c r="U9" s="57" t="s">
        <v>2</v>
      </c>
      <c r="V9" s="55" t="s">
        <v>17</v>
      </c>
      <c r="W9" s="55" t="s">
        <v>32</v>
      </c>
      <c r="X9" s="264" t="s">
        <v>1</v>
      </c>
      <c r="Y9" s="264" t="s">
        <v>1</v>
      </c>
      <c r="Z9" s="57" t="s">
        <v>2</v>
      </c>
      <c r="AA9" s="57"/>
      <c r="AB9" s="57"/>
      <c r="AC9" s="55"/>
      <c r="AD9" s="55"/>
      <c r="AE9" s="55"/>
      <c r="AF9" s="55"/>
      <c r="AG9" s="44"/>
      <c r="AH9" s="44"/>
      <c r="AI9" s="44"/>
    </row>
    <row r="10" spans="1:36" s="42" customFormat="1" ht="18.75" x14ac:dyDescent="0.3">
      <c r="A10" s="41"/>
      <c r="C10" s="43"/>
      <c r="D10" s="41" t="s">
        <v>39</v>
      </c>
      <c r="E10" s="41"/>
      <c r="F10" s="41"/>
      <c r="G10" s="41"/>
      <c r="H10" s="75">
        <v>8001</v>
      </c>
      <c r="I10" s="75">
        <v>8001</v>
      </c>
      <c r="J10" s="75"/>
      <c r="K10" s="96"/>
      <c r="L10" s="75">
        <v>8012</v>
      </c>
      <c r="M10" s="75">
        <v>8012</v>
      </c>
      <c r="N10" s="75">
        <v>8012</v>
      </c>
      <c r="O10" s="75">
        <v>8012</v>
      </c>
      <c r="P10" s="75">
        <v>8011</v>
      </c>
      <c r="Q10" s="75">
        <v>8016</v>
      </c>
      <c r="R10" s="75">
        <v>8017</v>
      </c>
      <c r="S10" s="75">
        <v>8004</v>
      </c>
      <c r="T10" s="75">
        <v>8008</v>
      </c>
      <c r="U10" s="75">
        <v>8004</v>
      </c>
      <c r="V10" s="75">
        <v>8007</v>
      </c>
      <c r="W10" s="263">
        <v>8000</v>
      </c>
      <c r="X10" s="263">
        <v>8000</v>
      </c>
      <c r="Y10" s="263">
        <v>8000</v>
      </c>
      <c r="Z10" s="75">
        <v>8008</v>
      </c>
      <c r="AA10" s="75"/>
      <c r="AB10" s="75"/>
      <c r="AC10" s="75"/>
      <c r="AD10" s="75"/>
      <c r="AE10" s="75"/>
      <c r="AF10" s="75"/>
      <c r="AG10" s="44"/>
      <c r="AH10" s="44"/>
      <c r="AI10" s="44"/>
    </row>
    <row r="11" spans="1:36" s="42" customFormat="1" ht="21.4" customHeight="1" x14ac:dyDescent="0.35">
      <c r="A11" s="45"/>
      <c r="C11" s="46"/>
      <c r="D11" s="45"/>
      <c r="E11" s="290" t="s">
        <v>40</v>
      </c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44"/>
      <c r="AJ11" s="44"/>
    </row>
    <row r="12" spans="1:36" s="35" customFormat="1" ht="165.4" customHeight="1" x14ac:dyDescent="0.2">
      <c r="A12" s="47" t="s">
        <v>3</v>
      </c>
      <c r="B12" s="48"/>
      <c r="C12" s="4"/>
      <c r="D12" s="4" t="s">
        <v>3</v>
      </c>
      <c r="E12" s="4" t="s">
        <v>140</v>
      </c>
      <c r="F12" s="4" t="s">
        <v>49</v>
      </c>
      <c r="G12" s="4" t="s">
        <v>50</v>
      </c>
      <c r="H12" s="50" t="s">
        <v>51</v>
      </c>
      <c r="I12" s="50" t="s">
        <v>142</v>
      </c>
      <c r="J12" s="50" t="s">
        <v>143</v>
      </c>
      <c r="K12" s="40"/>
      <c r="L12" s="142" t="s">
        <v>368</v>
      </c>
      <c r="M12" s="142" t="s">
        <v>367</v>
      </c>
      <c r="N12" s="142" t="s">
        <v>369</v>
      </c>
      <c r="O12" s="143" t="s">
        <v>357</v>
      </c>
      <c r="P12" s="143" t="s">
        <v>358</v>
      </c>
      <c r="Q12" s="128" t="s">
        <v>162</v>
      </c>
      <c r="R12" s="128" t="s">
        <v>359</v>
      </c>
      <c r="S12" s="133" t="s">
        <v>159</v>
      </c>
      <c r="T12" s="144" t="s">
        <v>160</v>
      </c>
      <c r="U12" s="145" t="s">
        <v>161</v>
      </c>
      <c r="V12" s="133" t="s">
        <v>265</v>
      </c>
      <c r="W12" s="224" t="s">
        <v>366</v>
      </c>
      <c r="X12" s="224" t="s">
        <v>403</v>
      </c>
      <c r="Y12" s="224" t="s">
        <v>402</v>
      </c>
      <c r="Z12" s="144" t="s">
        <v>167</v>
      </c>
      <c r="AA12" s="5" t="s">
        <v>41</v>
      </c>
      <c r="AB12" s="36"/>
      <c r="AC12" s="39" t="s">
        <v>266</v>
      </c>
    </row>
    <row r="13" spans="1:36" x14ac:dyDescent="0.25">
      <c r="A13" s="6" t="str">
        <f t="shared" ref="A13:A38" si="6">D13</f>
        <v>Maples</v>
      </c>
      <c r="B13" s="49"/>
      <c r="C13" s="132">
        <v>3071000</v>
      </c>
      <c r="D13" s="129" t="s">
        <v>10</v>
      </c>
      <c r="E13" s="165">
        <v>0</v>
      </c>
      <c r="F13" s="165">
        <v>0</v>
      </c>
      <c r="G13" s="165">
        <v>0</v>
      </c>
      <c r="H13" s="166">
        <v>0</v>
      </c>
      <c r="I13" s="167">
        <v>0</v>
      </c>
      <c r="J13" s="168">
        <f t="shared" ref="J13:J38" si="7">SUM(H13:I13)</f>
        <v>0</v>
      </c>
      <c r="K13" s="169"/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6900.0678399999997</v>
      </c>
      <c r="X13" s="170">
        <v>15806</v>
      </c>
      <c r="Y13" s="170">
        <v>5594</v>
      </c>
      <c r="Z13" s="170">
        <v>0</v>
      </c>
      <c r="AA13" s="171">
        <f t="shared" ref="AA13:AA38" si="8">SUM(L13:Z13)</f>
        <v>28300.06784</v>
      </c>
      <c r="AB13" s="169"/>
      <c r="AC13" s="171">
        <f t="shared" ref="AC13:AC38" si="9">AA13+J13</f>
        <v>28300.06784</v>
      </c>
      <c r="AF13" s="95"/>
      <c r="AH13" s="28"/>
      <c r="AJ13" s="28"/>
    </row>
    <row r="14" spans="1:36" x14ac:dyDescent="0.25">
      <c r="A14" s="6" t="str">
        <f t="shared" si="6"/>
        <v>Grove House</v>
      </c>
      <c r="B14" s="49"/>
      <c r="C14" s="132">
        <v>3071002</v>
      </c>
      <c r="D14" s="129" t="s">
        <v>7</v>
      </c>
      <c r="E14" s="165">
        <v>0</v>
      </c>
      <c r="F14" s="165">
        <v>0</v>
      </c>
      <c r="G14" s="165">
        <v>0</v>
      </c>
      <c r="H14" s="166">
        <v>0</v>
      </c>
      <c r="I14" s="167">
        <v>0</v>
      </c>
      <c r="J14" s="168">
        <f t="shared" si="7"/>
        <v>0</v>
      </c>
      <c r="K14" s="169"/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7148.1395199999997</v>
      </c>
      <c r="X14" s="170">
        <v>16438</v>
      </c>
      <c r="Y14" s="170">
        <v>5818</v>
      </c>
      <c r="Z14" s="170">
        <v>0</v>
      </c>
      <c r="AA14" s="171">
        <f t="shared" si="8"/>
        <v>29404.139520000001</v>
      </c>
      <c r="AB14" s="169"/>
      <c r="AC14" s="171">
        <f t="shared" si="9"/>
        <v>29404.139520000001</v>
      </c>
      <c r="AF14" s="95"/>
      <c r="AH14" s="28"/>
      <c r="AJ14" s="28"/>
    </row>
    <row r="15" spans="1:36" x14ac:dyDescent="0.25">
      <c r="A15" s="6" t="str">
        <f t="shared" si="6"/>
        <v>SACC</v>
      </c>
      <c r="B15" s="49"/>
      <c r="C15" s="132">
        <v>3071003</v>
      </c>
      <c r="D15" s="129" t="s">
        <v>141</v>
      </c>
      <c r="E15" s="165">
        <v>0</v>
      </c>
      <c r="F15" s="165">
        <v>0</v>
      </c>
      <c r="G15" s="165">
        <v>0</v>
      </c>
      <c r="H15" s="166">
        <v>0</v>
      </c>
      <c r="I15" s="167">
        <v>0</v>
      </c>
      <c r="J15" s="168">
        <f t="shared" si="7"/>
        <v>0</v>
      </c>
      <c r="K15" s="169"/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7203.26656</v>
      </c>
      <c r="X15" s="170">
        <v>20864</v>
      </c>
      <c r="Y15" s="170">
        <v>7384</v>
      </c>
      <c r="Z15" s="170">
        <v>0</v>
      </c>
      <c r="AA15" s="171">
        <f t="shared" si="8"/>
        <v>35451.266560000004</v>
      </c>
      <c r="AB15" s="169"/>
      <c r="AC15" s="171">
        <f t="shared" si="9"/>
        <v>35451.266560000004</v>
      </c>
      <c r="AF15" s="95"/>
      <c r="AH15" s="28"/>
      <c r="AJ15" s="28"/>
    </row>
    <row r="16" spans="1:36" x14ac:dyDescent="0.25">
      <c r="A16" s="6" t="str">
        <f t="shared" si="6"/>
        <v>Greenfields</v>
      </c>
      <c r="B16" s="49"/>
      <c r="C16" s="132">
        <v>3071007</v>
      </c>
      <c r="D16" s="129" t="s">
        <v>14</v>
      </c>
      <c r="E16" s="165">
        <v>0</v>
      </c>
      <c r="F16" s="165">
        <v>0</v>
      </c>
      <c r="G16" s="165">
        <v>0</v>
      </c>
      <c r="H16" s="166">
        <v>0</v>
      </c>
      <c r="I16" s="167">
        <v>0</v>
      </c>
      <c r="J16" s="168">
        <f t="shared" si="7"/>
        <v>0</v>
      </c>
      <c r="K16" s="169"/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7864.7910400000001</v>
      </c>
      <c r="X16" s="170">
        <v>19125</v>
      </c>
      <c r="Y16" s="170">
        <v>6769</v>
      </c>
      <c r="Z16" s="170">
        <v>0</v>
      </c>
      <c r="AA16" s="171">
        <f t="shared" si="8"/>
        <v>33758.791039999996</v>
      </c>
      <c r="AB16" s="169"/>
      <c r="AC16" s="171">
        <f t="shared" si="9"/>
        <v>33758.791039999996</v>
      </c>
      <c r="AF16" s="95"/>
      <c r="AH16" s="28"/>
      <c r="AJ16" s="28"/>
    </row>
    <row r="17" spans="1:36" x14ac:dyDescent="0.25">
      <c r="A17" s="6" t="str">
        <f t="shared" si="6"/>
        <v>PRU High</v>
      </c>
      <c r="B17" s="49"/>
      <c r="C17" s="7">
        <v>3071103</v>
      </c>
      <c r="D17" s="271" t="s">
        <v>304</v>
      </c>
      <c r="E17" s="165">
        <v>0</v>
      </c>
      <c r="F17" s="165">
        <v>0</v>
      </c>
      <c r="G17" s="165">
        <v>0</v>
      </c>
      <c r="H17" s="166">
        <v>0</v>
      </c>
      <c r="I17" s="167">
        <v>0</v>
      </c>
      <c r="J17" s="168">
        <f t="shared" si="7"/>
        <v>0</v>
      </c>
      <c r="K17" s="169"/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38200</v>
      </c>
      <c r="W17" s="170">
        <v>0</v>
      </c>
      <c r="X17" s="170">
        <f>125*576.91</f>
        <v>72113.75</v>
      </c>
      <c r="Y17" s="170">
        <f>125*208.18</f>
        <v>26022.5</v>
      </c>
      <c r="Z17" s="170">
        <v>0</v>
      </c>
      <c r="AA17" s="171">
        <f t="shared" si="8"/>
        <v>136336.25</v>
      </c>
      <c r="AB17" s="169"/>
      <c r="AC17" s="171">
        <f t="shared" si="9"/>
        <v>136336.25</v>
      </c>
      <c r="AF17" s="95"/>
      <c r="AH17" s="28"/>
      <c r="AJ17" s="28"/>
    </row>
    <row r="18" spans="1:36" x14ac:dyDescent="0.25">
      <c r="A18" s="6" t="str">
        <f t="shared" si="6"/>
        <v>PRU Primary  - EPC</v>
      </c>
      <c r="B18" s="49"/>
      <c r="C18" s="7">
        <v>3071104</v>
      </c>
      <c r="D18" s="271" t="s">
        <v>305</v>
      </c>
      <c r="E18" s="165">
        <v>0</v>
      </c>
      <c r="F18" s="165">
        <v>0</v>
      </c>
      <c r="G18" s="165">
        <v>0</v>
      </c>
      <c r="H18" s="166">
        <v>0</v>
      </c>
      <c r="I18" s="167">
        <v>0</v>
      </c>
      <c r="J18" s="168">
        <f t="shared" si="7"/>
        <v>0</v>
      </c>
      <c r="K18" s="169"/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6000</v>
      </c>
      <c r="R18" s="170">
        <v>2093</v>
      </c>
      <c r="S18" s="170">
        <v>0</v>
      </c>
      <c r="T18" s="170">
        <v>0</v>
      </c>
      <c r="U18" s="170">
        <v>0</v>
      </c>
      <c r="V18" s="170">
        <v>10725</v>
      </c>
      <c r="W18" s="170">
        <v>0</v>
      </c>
      <c r="X18" s="170">
        <f>40*576.91</f>
        <v>23076.399999999998</v>
      </c>
      <c r="Y18" s="170">
        <f>40*208.18</f>
        <v>8327.2000000000007</v>
      </c>
      <c r="Z18" s="170">
        <v>0</v>
      </c>
      <c r="AA18" s="171">
        <f t="shared" si="8"/>
        <v>50221.599999999991</v>
      </c>
      <c r="AB18" s="169"/>
      <c r="AC18" s="171">
        <f t="shared" si="9"/>
        <v>50221.599999999991</v>
      </c>
      <c r="AF18" s="95"/>
      <c r="AH18" s="28"/>
      <c r="AJ18" s="28"/>
    </row>
    <row r="19" spans="1:36" x14ac:dyDescent="0.25">
      <c r="A19" s="6" t="str">
        <f t="shared" si="6"/>
        <v>Holy Family Catholic Primary School</v>
      </c>
      <c r="B19" s="49"/>
      <c r="C19" s="7">
        <v>3072000</v>
      </c>
      <c r="D19" s="271" t="s">
        <v>54</v>
      </c>
      <c r="E19" s="165">
        <v>1977668.8796214275</v>
      </c>
      <c r="F19" s="165">
        <v>-7514.1</v>
      </c>
      <c r="G19" s="165">
        <v>-12299.94</v>
      </c>
      <c r="H19" s="166">
        <v>1957854.8396214275</v>
      </c>
      <c r="I19" s="167">
        <v>0</v>
      </c>
      <c r="J19" s="168">
        <f t="shared" si="7"/>
        <v>1957854.8396214275</v>
      </c>
      <c r="K19" s="169">
        <v>3072161</v>
      </c>
      <c r="L19" s="170">
        <v>89043.397260274025</v>
      </c>
      <c r="M19" s="170">
        <v>0</v>
      </c>
      <c r="N19" s="170">
        <v>0</v>
      </c>
      <c r="O19" s="170">
        <v>0</v>
      </c>
      <c r="P19" s="170">
        <v>111279.9</v>
      </c>
      <c r="Q19" s="170">
        <v>19808</v>
      </c>
      <c r="R19" s="170">
        <v>55427</v>
      </c>
      <c r="S19" s="170">
        <v>0</v>
      </c>
      <c r="T19" s="170">
        <v>0</v>
      </c>
      <c r="U19" s="170">
        <v>0</v>
      </c>
      <c r="V19" s="170">
        <v>88080</v>
      </c>
      <c r="W19" s="170">
        <v>56403.001279999997</v>
      </c>
      <c r="X19" s="170">
        <v>5374</v>
      </c>
      <c r="Y19" s="170">
        <v>1902</v>
      </c>
      <c r="Z19" s="170">
        <v>0</v>
      </c>
      <c r="AA19" s="171">
        <f t="shared" si="8"/>
        <v>427317.29854027403</v>
      </c>
      <c r="AB19" s="169"/>
      <c r="AC19" s="171">
        <f t="shared" si="9"/>
        <v>2385172.1381617016</v>
      </c>
      <c r="AF19" s="95"/>
      <c r="AH19" s="28"/>
      <c r="AJ19" s="28"/>
    </row>
    <row r="20" spans="1:36" x14ac:dyDescent="0.25">
      <c r="A20" s="6" t="str">
        <f t="shared" si="6"/>
        <v>Berrymede Junior School</v>
      </c>
      <c r="B20" s="49"/>
      <c r="C20" s="7">
        <v>3072005</v>
      </c>
      <c r="D20" s="6" t="s">
        <v>55</v>
      </c>
      <c r="E20" s="165">
        <v>1092609.3928519306</v>
      </c>
      <c r="F20" s="165">
        <v>-3267</v>
      </c>
      <c r="G20" s="165">
        <v>-5347.8</v>
      </c>
      <c r="H20" s="166">
        <v>1083994.5928519305</v>
      </c>
      <c r="I20" s="167">
        <v>0</v>
      </c>
      <c r="J20" s="168">
        <f t="shared" si="7"/>
        <v>1083994.5928519305</v>
      </c>
      <c r="K20" s="169">
        <v>3076905</v>
      </c>
      <c r="L20" s="170">
        <v>21277.780821917811</v>
      </c>
      <c r="M20" s="170">
        <v>0</v>
      </c>
      <c r="N20" s="170">
        <v>0</v>
      </c>
      <c r="O20" s="170">
        <v>0</v>
      </c>
      <c r="P20" s="170">
        <v>0</v>
      </c>
      <c r="Q20" s="170">
        <v>18466</v>
      </c>
      <c r="R20" s="170">
        <v>0</v>
      </c>
      <c r="S20" s="170">
        <v>0</v>
      </c>
      <c r="T20" s="170">
        <v>0</v>
      </c>
      <c r="U20" s="170">
        <v>0</v>
      </c>
      <c r="V20" s="170">
        <v>146605</v>
      </c>
      <c r="W20" s="170">
        <v>33845.705600000001</v>
      </c>
      <c r="X20" s="170">
        <v>0</v>
      </c>
      <c r="Y20" s="170">
        <v>0</v>
      </c>
      <c r="Z20" s="170">
        <v>0</v>
      </c>
      <c r="AA20" s="171">
        <f t="shared" si="8"/>
        <v>220194.4864219178</v>
      </c>
      <c r="AB20" s="169"/>
      <c r="AC20" s="171">
        <f t="shared" si="9"/>
        <v>1304189.0792738483</v>
      </c>
      <c r="AF20" s="95"/>
      <c r="AH20" s="28"/>
      <c r="AJ20" s="28"/>
    </row>
    <row r="21" spans="1:36" x14ac:dyDescent="0.25">
      <c r="A21" s="6" t="str">
        <f t="shared" si="6"/>
        <v>Berrymede Infant School</v>
      </c>
      <c r="B21" s="49"/>
      <c r="C21" s="7">
        <v>3072006</v>
      </c>
      <c r="D21" s="6" t="s">
        <v>56</v>
      </c>
      <c r="E21" s="165">
        <v>906834.18613747007</v>
      </c>
      <c r="F21" s="165">
        <v>-2649.9</v>
      </c>
      <c r="G21" s="165">
        <v>-4337.66</v>
      </c>
      <c r="H21" s="166">
        <v>899846.62613747001</v>
      </c>
      <c r="I21" s="167">
        <v>0</v>
      </c>
      <c r="J21" s="168">
        <f t="shared" si="7"/>
        <v>899846.62613747001</v>
      </c>
      <c r="K21" s="169">
        <v>3072004</v>
      </c>
      <c r="L21" s="170">
        <v>69044.013698630122</v>
      </c>
      <c r="M21" s="170">
        <v>0</v>
      </c>
      <c r="N21" s="170">
        <v>0</v>
      </c>
      <c r="O21" s="170">
        <v>0</v>
      </c>
      <c r="P21" s="170">
        <v>45180.599999999991</v>
      </c>
      <c r="Q21" s="170">
        <v>17092</v>
      </c>
      <c r="R21" s="170">
        <v>34031</v>
      </c>
      <c r="S21" s="170">
        <v>0</v>
      </c>
      <c r="T21" s="170">
        <v>0</v>
      </c>
      <c r="U21" s="170">
        <v>0</v>
      </c>
      <c r="V21" s="170">
        <v>74630</v>
      </c>
      <c r="W21" s="170">
        <v>25770.742719999998</v>
      </c>
      <c r="X21" s="170">
        <v>2687</v>
      </c>
      <c r="Y21" s="170">
        <v>951</v>
      </c>
      <c r="Z21" s="170">
        <v>0</v>
      </c>
      <c r="AA21" s="171">
        <f t="shared" si="8"/>
        <v>269386.35641863011</v>
      </c>
      <c r="AB21" s="169"/>
      <c r="AC21" s="171">
        <f t="shared" si="9"/>
        <v>1169232.9825561</v>
      </c>
      <c r="AF21" s="95"/>
      <c r="AH21" s="28"/>
      <c r="AJ21" s="28"/>
    </row>
    <row r="22" spans="1:36" x14ac:dyDescent="0.25">
      <c r="A22" s="6" t="str">
        <f t="shared" si="6"/>
        <v>East Acton Primary School</v>
      </c>
      <c r="B22" s="49"/>
      <c r="C22" s="7">
        <v>3072022</v>
      </c>
      <c r="D22" s="6" t="s">
        <v>57</v>
      </c>
      <c r="E22" s="165">
        <v>1169967.3411772931</v>
      </c>
      <c r="F22" s="165">
        <v>-3539.25</v>
      </c>
      <c r="G22" s="165">
        <v>-5793.45</v>
      </c>
      <c r="H22" s="166">
        <v>1160634.6411772931</v>
      </c>
      <c r="I22" s="167">
        <v>0</v>
      </c>
      <c r="J22" s="168">
        <f t="shared" si="7"/>
        <v>1160634.6411772931</v>
      </c>
      <c r="K22" s="169">
        <v>3074002</v>
      </c>
      <c r="L22" s="170">
        <v>63087.329863013729</v>
      </c>
      <c r="M22" s="170">
        <v>0</v>
      </c>
      <c r="N22" s="170">
        <v>0</v>
      </c>
      <c r="O22" s="170">
        <v>0</v>
      </c>
      <c r="P22" s="170">
        <v>0</v>
      </c>
      <c r="Q22" s="170">
        <v>18026</v>
      </c>
      <c r="R22" s="170">
        <v>17469</v>
      </c>
      <c r="S22" s="170">
        <v>0</v>
      </c>
      <c r="T22" s="170">
        <v>0</v>
      </c>
      <c r="U22" s="170">
        <v>0</v>
      </c>
      <c r="V22" s="170">
        <v>117015.00000000003</v>
      </c>
      <c r="W22" s="170">
        <v>36004.847999999991</v>
      </c>
      <c r="X22" s="170">
        <v>0</v>
      </c>
      <c r="Y22" s="170">
        <v>0</v>
      </c>
      <c r="Z22" s="170">
        <v>0</v>
      </c>
      <c r="AA22" s="171">
        <f t="shared" si="8"/>
        <v>251602.17786301376</v>
      </c>
      <c r="AB22" s="169"/>
      <c r="AC22" s="171">
        <f t="shared" si="9"/>
        <v>1412236.8190403068</v>
      </c>
      <c r="AF22" s="95"/>
      <c r="AH22" s="28"/>
      <c r="AJ22" s="28"/>
    </row>
    <row r="23" spans="1:36" x14ac:dyDescent="0.25">
      <c r="A23" s="6" t="str">
        <f t="shared" si="6"/>
        <v>Oldfield Primary School</v>
      </c>
      <c r="B23" s="49"/>
      <c r="C23" s="7">
        <v>3072033</v>
      </c>
      <c r="D23" s="6" t="s">
        <v>58</v>
      </c>
      <c r="E23" s="165">
        <v>1716970.5914054946</v>
      </c>
      <c r="F23" s="165">
        <v>-5862.45</v>
      </c>
      <c r="G23" s="165">
        <v>-9596.33</v>
      </c>
      <c r="H23" s="166">
        <v>1701511.8114054946</v>
      </c>
      <c r="I23" s="167">
        <v>0</v>
      </c>
      <c r="J23" s="168">
        <f t="shared" si="7"/>
        <v>1701511.8114054946</v>
      </c>
      <c r="K23" s="169">
        <v>3074007</v>
      </c>
      <c r="L23" s="170">
        <v>122742.17917808217</v>
      </c>
      <c r="M23" s="170">
        <v>0</v>
      </c>
      <c r="N23" s="170">
        <v>0</v>
      </c>
      <c r="O23" s="170">
        <v>0</v>
      </c>
      <c r="P23" s="170">
        <v>90500.849999999991</v>
      </c>
      <c r="Q23" s="170">
        <v>19022</v>
      </c>
      <c r="R23" s="170">
        <v>50685</v>
      </c>
      <c r="S23" s="170">
        <v>0</v>
      </c>
      <c r="T23" s="170">
        <v>0</v>
      </c>
      <c r="U23" s="170">
        <v>0</v>
      </c>
      <c r="V23" s="170">
        <v>162710</v>
      </c>
      <c r="W23" s="170">
        <v>51203.832320000001</v>
      </c>
      <c r="X23" s="170">
        <v>6165</v>
      </c>
      <c r="Y23" s="170">
        <v>2182</v>
      </c>
      <c r="Z23" s="170">
        <v>0</v>
      </c>
      <c r="AA23" s="171">
        <f t="shared" si="8"/>
        <v>505210.86149808211</v>
      </c>
      <c r="AB23" s="169"/>
      <c r="AC23" s="171">
        <f t="shared" si="9"/>
        <v>2206722.6729035769</v>
      </c>
      <c r="AF23" s="95"/>
      <c r="AH23" s="28"/>
      <c r="AJ23" s="28"/>
    </row>
    <row r="24" spans="1:36" x14ac:dyDescent="0.25">
      <c r="A24" s="6" t="str">
        <f t="shared" si="6"/>
        <v>North Ealing Primary School</v>
      </c>
      <c r="B24" s="49"/>
      <c r="C24" s="7">
        <v>3072046</v>
      </c>
      <c r="D24" s="6" t="s">
        <v>59</v>
      </c>
      <c r="E24" s="165">
        <v>2775715.5149425832</v>
      </c>
      <c r="F24" s="165">
        <v>-10781.099999999999</v>
      </c>
      <c r="G24" s="165">
        <v>-17647.740000000002</v>
      </c>
      <c r="H24" s="166">
        <v>2747286.6749425833</v>
      </c>
      <c r="I24" s="167">
        <v>0</v>
      </c>
      <c r="J24" s="168">
        <f t="shared" si="7"/>
        <v>2747286.6749425833</v>
      </c>
      <c r="K24" s="169">
        <v>3072001</v>
      </c>
      <c r="L24" s="170">
        <v>190401.89972602736</v>
      </c>
      <c r="M24" s="170">
        <v>0</v>
      </c>
      <c r="N24" s="170">
        <v>0</v>
      </c>
      <c r="O24" s="170">
        <v>0</v>
      </c>
      <c r="P24" s="170">
        <v>187786.35000000003</v>
      </c>
      <c r="Q24" s="170">
        <v>21251</v>
      </c>
      <c r="R24" s="170">
        <v>102926</v>
      </c>
      <c r="S24" s="170">
        <v>0</v>
      </c>
      <c r="T24" s="170">
        <v>0</v>
      </c>
      <c r="U24" s="170">
        <v>0</v>
      </c>
      <c r="V24" s="170">
        <v>151260</v>
      </c>
      <c r="W24" s="170">
        <v>83086.785599999974</v>
      </c>
      <c r="X24" s="170">
        <v>8693</v>
      </c>
      <c r="Y24" s="170">
        <v>3077</v>
      </c>
      <c r="Z24" s="170">
        <v>0</v>
      </c>
      <c r="AA24" s="171">
        <f t="shared" si="8"/>
        <v>748482.03532602731</v>
      </c>
      <c r="AB24" s="169"/>
      <c r="AC24" s="171">
        <f t="shared" si="9"/>
        <v>3495768.7102686106</v>
      </c>
      <c r="AF24" s="95"/>
      <c r="AH24" s="28"/>
      <c r="AJ24" s="28"/>
    </row>
    <row r="25" spans="1:36" x14ac:dyDescent="0.25">
      <c r="A25" s="6" t="str">
        <f t="shared" si="6"/>
        <v>St John's Primary School</v>
      </c>
      <c r="B25" s="49"/>
      <c r="C25" s="7">
        <v>3072058</v>
      </c>
      <c r="D25" s="6" t="s">
        <v>60</v>
      </c>
      <c r="E25" s="165">
        <v>2219190.6879604836</v>
      </c>
      <c r="F25" s="165">
        <v>-7241.8499999999995</v>
      </c>
      <c r="G25" s="165">
        <v>-11854.29</v>
      </c>
      <c r="H25" s="166">
        <v>2200094.5479604835</v>
      </c>
      <c r="I25" s="167">
        <v>150000</v>
      </c>
      <c r="J25" s="168">
        <f t="shared" si="7"/>
        <v>2350094.5479604835</v>
      </c>
      <c r="K25" s="169">
        <v>3072083</v>
      </c>
      <c r="L25" s="170">
        <v>197961.61452054797</v>
      </c>
      <c r="M25" s="170">
        <v>0</v>
      </c>
      <c r="N25" s="170">
        <v>140966</v>
      </c>
      <c r="O25" s="170">
        <v>3746.8</v>
      </c>
      <c r="P25" s="170">
        <v>161364.59999999998</v>
      </c>
      <c r="Q25" s="170">
        <v>19341</v>
      </c>
      <c r="R25" s="170">
        <v>47110</v>
      </c>
      <c r="S25" s="170">
        <v>0</v>
      </c>
      <c r="T25" s="170">
        <v>0</v>
      </c>
      <c r="U25" s="170">
        <v>0</v>
      </c>
      <c r="V25" s="170">
        <v>197222.91999999998</v>
      </c>
      <c r="W25" s="170">
        <v>65113.073599999989</v>
      </c>
      <c r="X25" s="170">
        <v>8693</v>
      </c>
      <c r="Y25" s="170">
        <v>3077</v>
      </c>
      <c r="Z25" s="170">
        <v>0</v>
      </c>
      <c r="AA25" s="171">
        <f t="shared" si="8"/>
        <v>844596.00812054798</v>
      </c>
      <c r="AB25" s="169"/>
      <c r="AC25" s="171">
        <f t="shared" si="9"/>
        <v>3194690.5560810314</v>
      </c>
      <c r="AF25" s="95"/>
      <c r="AH25" s="28"/>
      <c r="AJ25" s="28"/>
    </row>
    <row r="26" spans="1:36" x14ac:dyDescent="0.25">
      <c r="A26" s="6" t="str">
        <f t="shared" si="6"/>
        <v>St Mark's Primary School</v>
      </c>
      <c r="B26" s="49"/>
      <c r="C26" s="7">
        <v>3072059</v>
      </c>
      <c r="D26" s="6" t="s">
        <v>61</v>
      </c>
      <c r="E26" s="165">
        <v>2166051.0294592064</v>
      </c>
      <c r="F26" s="165">
        <v>-8076.7499999999991</v>
      </c>
      <c r="G26" s="165">
        <v>-13220.95</v>
      </c>
      <c r="H26" s="166">
        <v>2144753.3294592062</v>
      </c>
      <c r="I26" s="167">
        <v>0</v>
      </c>
      <c r="J26" s="168">
        <f t="shared" si="7"/>
        <v>2144753.3294592062</v>
      </c>
      <c r="K26" s="169">
        <v>3077005</v>
      </c>
      <c r="L26" s="170">
        <v>159475.79356164389</v>
      </c>
      <c r="M26" s="170">
        <v>0</v>
      </c>
      <c r="N26" s="170">
        <v>0</v>
      </c>
      <c r="O26" s="170">
        <v>0</v>
      </c>
      <c r="P26" s="170">
        <v>129729.48</v>
      </c>
      <c r="Q26" s="170">
        <v>19954</v>
      </c>
      <c r="R26" s="170">
        <v>60855</v>
      </c>
      <c r="S26" s="170">
        <v>0</v>
      </c>
      <c r="T26" s="170">
        <v>0</v>
      </c>
      <c r="U26" s="170">
        <v>0</v>
      </c>
      <c r="V26" s="170">
        <v>154604.99999999997</v>
      </c>
      <c r="W26" s="170">
        <v>66229.396159999989</v>
      </c>
      <c r="X26" s="170">
        <v>5374</v>
      </c>
      <c r="Y26" s="170">
        <v>1902</v>
      </c>
      <c r="Z26" s="170">
        <v>0</v>
      </c>
      <c r="AA26" s="171">
        <f t="shared" si="8"/>
        <v>598124.66972164391</v>
      </c>
      <c r="AB26" s="169"/>
      <c r="AC26" s="171">
        <f t="shared" si="9"/>
        <v>2742877.9991808501</v>
      </c>
      <c r="AF26" s="95"/>
      <c r="AH26" s="28"/>
      <c r="AJ26" s="28"/>
    </row>
    <row r="27" spans="1:36" x14ac:dyDescent="0.25">
      <c r="A27" s="6" t="str">
        <f t="shared" si="6"/>
        <v>West Twyford Primary School</v>
      </c>
      <c r="B27" s="49"/>
      <c r="C27" s="7">
        <v>3072067</v>
      </c>
      <c r="D27" s="6" t="s">
        <v>62</v>
      </c>
      <c r="E27" s="165">
        <v>2137947.0301718409</v>
      </c>
      <c r="F27" s="165">
        <v>-7314.45</v>
      </c>
      <c r="G27" s="165">
        <v>-11973.13</v>
      </c>
      <c r="H27" s="166">
        <v>2118659.4501718408</v>
      </c>
      <c r="I27" s="167">
        <v>0</v>
      </c>
      <c r="J27" s="168">
        <f t="shared" si="7"/>
        <v>2118659.4501718408</v>
      </c>
      <c r="K27" s="169">
        <v>3072006</v>
      </c>
      <c r="L27" s="170">
        <v>43985.271232876701</v>
      </c>
      <c r="M27" s="170">
        <v>0</v>
      </c>
      <c r="N27" s="170">
        <v>0</v>
      </c>
      <c r="O27" s="170">
        <v>0</v>
      </c>
      <c r="P27" s="170">
        <v>139611.14999999997</v>
      </c>
      <c r="Q27" s="170">
        <v>19343</v>
      </c>
      <c r="R27" s="170">
        <v>57502</v>
      </c>
      <c r="S27" s="170">
        <v>0</v>
      </c>
      <c r="T27" s="170">
        <v>0</v>
      </c>
      <c r="U27" s="170">
        <v>0</v>
      </c>
      <c r="V27" s="170">
        <v>161400</v>
      </c>
      <c r="W27" s="170">
        <v>63821.033599999988</v>
      </c>
      <c r="X27" s="170">
        <v>6322</v>
      </c>
      <c r="Y27" s="170">
        <v>2237</v>
      </c>
      <c r="Z27" s="170">
        <v>0</v>
      </c>
      <c r="AA27" s="171">
        <f t="shared" si="8"/>
        <v>494221.45483287663</v>
      </c>
      <c r="AB27" s="169"/>
      <c r="AC27" s="171">
        <f t="shared" si="9"/>
        <v>2612880.9050047174</v>
      </c>
      <c r="AF27" s="95"/>
      <c r="AH27" s="28"/>
      <c r="AJ27" s="28"/>
    </row>
    <row r="28" spans="1:36" x14ac:dyDescent="0.25">
      <c r="A28" s="6" t="str">
        <f t="shared" si="6"/>
        <v>West Acton Primary School</v>
      </c>
      <c r="B28" s="49"/>
      <c r="C28" s="7">
        <v>3072071</v>
      </c>
      <c r="D28" s="6" t="s">
        <v>63</v>
      </c>
      <c r="E28" s="165">
        <v>3217473.1891676416</v>
      </c>
      <c r="F28" s="165">
        <v>-11234.849999999999</v>
      </c>
      <c r="G28" s="165">
        <v>-18390.490000000002</v>
      </c>
      <c r="H28" s="166">
        <v>3187847.8491676417</v>
      </c>
      <c r="I28" s="167">
        <v>126000</v>
      </c>
      <c r="J28" s="168">
        <f t="shared" si="7"/>
        <v>3313847.8491676417</v>
      </c>
      <c r="K28" s="169">
        <v>3072005</v>
      </c>
      <c r="L28" s="170">
        <v>179665.34520547951</v>
      </c>
      <c r="M28" s="170">
        <v>0</v>
      </c>
      <c r="N28" s="170">
        <v>123659</v>
      </c>
      <c r="O28" s="170">
        <v>0</v>
      </c>
      <c r="P28" s="170">
        <v>165271.05000000002</v>
      </c>
      <c r="Q28" s="170">
        <v>21236</v>
      </c>
      <c r="R28" s="170">
        <v>79324</v>
      </c>
      <c r="S28" s="170">
        <v>0</v>
      </c>
      <c r="T28" s="170">
        <v>0</v>
      </c>
      <c r="U28" s="170">
        <v>0</v>
      </c>
      <c r="V28" s="170">
        <v>219234.99999999997</v>
      </c>
      <c r="W28" s="170">
        <v>91561.419519999981</v>
      </c>
      <c r="X28" s="170">
        <v>8219</v>
      </c>
      <c r="Y28" s="170">
        <v>2909</v>
      </c>
      <c r="Z28" s="170">
        <v>0</v>
      </c>
      <c r="AA28" s="171">
        <f t="shared" si="8"/>
        <v>891079.81472547958</v>
      </c>
      <c r="AB28" s="169"/>
      <c r="AC28" s="171">
        <f t="shared" si="9"/>
        <v>4204927.6638931213</v>
      </c>
      <c r="AD28" s="65"/>
      <c r="AF28" s="95"/>
      <c r="AH28" s="28"/>
      <c r="AJ28" s="28"/>
    </row>
    <row r="29" spans="1:36" x14ac:dyDescent="0.25">
      <c r="A29" s="6" t="str">
        <f t="shared" si="6"/>
        <v>Mayfield Primary School</v>
      </c>
      <c r="B29" s="49"/>
      <c r="C29" s="7">
        <v>3072076</v>
      </c>
      <c r="D29" s="6" t="s">
        <v>64</v>
      </c>
      <c r="E29" s="165">
        <v>2018960.1717509627</v>
      </c>
      <c r="F29" s="165">
        <v>-6987.75</v>
      </c>
      <c r="G29" s="165">
        <v>-11438.35</v>
      </c>
      <c r="H29" s="166">
        <v>2000534.0717509626</v>
      </c>
      <c r="I29" s="167">
        <v>0</v>
      </c>
      <c r="J29" s="168">
        <f t="shared" si="7"/>
        <v>2000534.0717509626</v>
      </c>
      <c r="K29" s="169">
        <v>3072162</v>
      </c>
      <c r="L29" s="170">
        <v>98296.758904109578</v>
      </c>
      <c r="M29" s="170">
        <v>0</v>
      </c>
      <c r="N29" s="170">
        <v>0</v>
      </c>
      <c r="O29" s="170">
        <v>1873.4</v>
      </c>
      <c r="P29" s="170">
        <v>150784.19999999998</v>
      </c>
      <c r="Q29" s="170">
        <v>19073</v>
      </c>
      <c r="R29" s="170">
        <v>36550</v>
      </c>
      <c r="S29" s="170">
        <v>0</v>
      </c>
      <c r="T29" s="170">
        <v>0</v>
      </c>
      <c r="U29" s="170">
        <v>0</v>
      </c>
      <c r="V29" s="170">
        <v>165400</v>
      </c>
      <c r="W29" s="170">
        <v>60338.842239999998</v>
      </c>
      <c r="X29" s="170">
        <v>6165</v>
      </c>
      <c r="Y29" s="170">
        <v>2182</v>
      </c>
      <c r="Z29" s="170">
        <v>0</v>
      </c>
      <c r="AA29" s="171">
        <f t="shared" si="8"/>
        <v>540663.2011441096</v>
      </c>
      <c r="AB29" s="169"/>
      <c r="AC29" s="171">
        <f t="shared" si="9"/>
        <v>2541197.2728950721</v>
      </c>
      <c r="AF29" s="95"/>
      <c r="AH29" s="28"/>
      <c r="AJ29" s="28"/>
    </row>
    <row r="30" spans="1:36" x14ac:dyDescent="0.25">
      <c r="A30" s="6" t="str">
        <f t="shared" si="6"/>
        <v>Beaconsfield Primary and Nursery School</v>
      </c>
      <c r="B30" s="49"/>
      <c r="C30" s="7">
        <v>3072083</v>
      </c>
      <c r="D30" s="6" t="s">
        <v>65</v>
      </c>
      <c r="E30" s="165">
        <v>2099362.547251849</v>
      </c>
      <c r="F30" s="165">
        <v>-7169.25</v>
      </c>
      <c r="G30" s="165">
        <v>-11735.45</v>
      </c>
      <c r="H30" s="166">
        <v>2080457.847251849</v>
      </c>
      <c r="I30" s="167">
        <v>168000</v>
      </c>
      <c r="J30" s="168">
        <f t="shared" si="7"/>
        <v>2248457.8472518492</v>
      </c>
      <c r="K30" s="169">
        <v>3075400</v>
      </c>
      <c r="L30" s="170">
        <v>119013.92328767136</v>
      </c>
      <c r="M30" s="170">
        <v>0</v>
      </c>
      <c r="N30" s="170">
        <v>165338</v>
      </c>
      <c r="O30" s="170">
        <v>936.7</v>
      </c>
      <c r="P30" s="170">
        <v>133724.51999999999</v>
      </c>
      <c r="Q30" s="170">
        <v>19199</v>
      </c>
      <c r="R30" s="170">
        <v>55187</v>
      </c>
      <c r="S30" s="170">
        <v>0</v>
      </c>
      <c r="T30" s="170">
        <v>0</v>
      </c>
      <c r="U30" s="170">
        <v>0</v>
      </c>
      <c r="V30" s="170">
        <v>108945</v>
      </c>
      <c r="W30" s="170">
        <v>57963.785599999996</v>
      </c>
      <c r="X30" s="170">
        <v>6797</v>
      </c>
      <c r="Y30" s="170">
        <v>2405</v>
      </c>
      <c r="Z30" s="170">
        <v>0</v>
      </c>
      <c r="AA30" s="171">
        <f t="shared" si="8"/>
        <v>669509.92888767133</v>
      </c>
      <c r="AB30" s="169"/>
      <c r="AC30" s="171">
        <f t="shared" si="9"/>
        <v>2917967.7761395206</v>
      </c>
      <c r="AF30" s="95"/>
      <c r="AH30" s="28"/>
      <c r="AJ30" s="28"/>
    </row>
    <row r="31" spans="1:36" x14ac:dyDescent="0.25">
      <c r="A31" s="6" t="str">
        <f t="shared" si="6"/>
        <v>Coston Primary School</v>
      </c>
      <c r="B31" s="49"/>
      <c r="C31" s="7">
        <v>3072088</v>
      </c>
      <c r="D31" s="6" t="s">
        <v>66</v>
      </c>
      <c r="E31" s="165">
        <v>2052235.8388510635</v>
      </c>
      <c r="F31" s="165">
        <v>-6897.0000000000009</v>
      </c>
      <c r="G31" s="165">
        <v>-11289.8</v>
      </c>
      <c r="H31" s="166">
        <v>2034049.0388510635</v>
      </c>
      <c r="I31" s="167">
        <v>210000</v>
      </c>
      <c r="J31" s="168">
        <f t="shared" si="7"/>
        <v>2244049.0388510637</v>
      </c>
      <c r="K31" s="169">
        <v>3072185</v>
      </c>
      <c r="L31" s="170">
        <v>92881.487452054804</v>
      </c>
      <c r="M31" s="170">
        <v>0</v>
      </c>
      <c r="N31" s="170">
        <v>203777</v>
      </c>
      <c r="O31" s="170">
        <v>0</v>
      </c>
      <c r="P31" s="170">
        <v>105078.39999999999</v>
      </c>
      <c r="Q31" s="170">
        <v>19342</v>
      </c>
      <c r="R31" s="170">
        <v>50055</v>
      </c>
      <c r="S31" s="170">
        <v>0</v>
      </c>
      <c r="T31" s="170">
        <v>0</v>
      </c>
      <c r="U31" s="170">
        <v>0</v>
      </c>
      <c r="V31" s="170">
        <v>157365</v>
      </c>
      <c r="W31" s="170">
        <v>60099.958399999989</v>
      </c>
      <c r="X31" s="170">
        <v>7113</v>
      </c>
      <c r="Y31" s="170">
        <v>2517</v>
      </c>
      <c r="Z31" s="170">
        <v>0</v>
      </c>
      <c r="AA31" s="171">
        <f t="shared" si="8"/>
        <v>698228.84585205477</v>
      </c>
      <c r="AB31" s="169"/>
      <c r="AC31" s="171">
        <f t="shared" si="9"/>
        <v>2942277.8847031184</v>
      </c>
      <c r="AF31" s="95"/>
      <c r="AH31" s="28"/>
      <c r="AJ31" s="28"/>
    </row>
    <row r="32" spans="1:36" x14ac:dyDescent="0.25">
      <c r="A32" s="6" t="str">
        <f t="shared" si="6"/>
        <v>Downe Manor Primary School</v>
      </c>
      <c r="B32" s="49"/>
      <c r="C32" s="7">
        <v>3072092</v>
      </c>
      <c r="D32" s="6" t="s">
        <v>67</v>
      </c>
      <c r="E32" s="165">
        <v>1795809.8660041704</v>
      </c>
      <c r="F32" s="165">
        <v>-5699.1</v>
      </c>
      <c r="G32" s="165">
        <v>-9328.94</v>
      </c>
      <c r="H32" s="166">
        <v>1780781.8260041703</v>
      </c>
      <c r="I32" s="167">
        <v>0</v>
      </c>
      <c r="J32" s="168">
        <f t="shared" si="7"/>
        <v>1780781.8260041703</v>
      </c>
      <c r="K32" s="169">
        <v>3074603</v>
      </c>
      <c r="L32" s="170">
        <v>37299.172602739709</v>
      </c>
      <c r="M32" s="170">
        <v>0</v>
      </c>
      <c r="N32" s="170">
        <v>0</v>
      </c>
      <c r="O32" s="170">
        <v>0</v>
      </c>
      <c r="P32" s="170">
        <v>98981.10000000002</v>
      </c>
      <c r="Q32" s="170">
        <v>18855</v>
      </c>
      <c r="R32" s="170">
        <v>42274</v>
      </c>
      <c r="S32" s="170">
        <v>0</v>
      </c>
      <c r="T32" s="170">
        <v>0</v>
      </c>
      <c r="U32" s="170">
        <v>0</v>
      </c>
      <c r="V32" s="170">
        <v>143915</v>
      </c>
      <c r="W32" s="170">
        <v>50326.393600000003</v>
      </c>
      <c r="X32" s="170">
        <v>6638</v>
      </c>
      <c r="Y32" s="170">
        <v>2349</v>
      </c>
      <c r="Z32" s="170">
        <v>0</v>
      </c>
      <c r="AA32" s="171">
        <f t="shared" si="8"/>
        <v>400637.66620273975</v>
      </c>
      <c r="AB32" s="169"/>
      <c r="AC32" s="171">
        <f t="shared" si="9"/>
        <v>2181419.4922069102</v>
      </c>
      <c r="AF32" s="95"/>
      <c r="AH32" s="28"/>
      <c r="AJ32" s="28"/>
    </row>
    <row r="33" spans="1:36" x14ac:dyDescent="0.25">
      <c r="A33" s="6" t="str">
        <f t="shared" si="6"/>
        <v>Drayton Green Primary School</v>
      </c>
      <c r="B33" s="49"/>
      <c r="C33" s="7">
        <v>3072094</v>
      </c>
      <c r="D33" s="6" t="s">
        <v>68</v>
      </c>
      <c r="E33" s="165">
        <v>1828173.6723663723</v>
      </c>
      <c r="F33" s="165">
        <v>-5880.5999999999995</v>
      </c>
      <c r="G33" s="165">
        <v>-9626.0400000000009</v>
      </c>
      <c r="H33" s="166">
        <v>1812667.0323663724</v>
      </c>
      <c r="I33" s="167">
        <v>126000</v>
      </c>
      <c r="J33" s="168">
        <f t="shared" si="7"/>
        <v>1938667.0323663724</v>
      </c>
      <c r="K33" s="169">
        <v>3077007</v>
      </c>
      <c r="L33" s="170">
        <v>109441.93273972605</v>
      </c>
      <c r="M33" s="170">
        <v>0</v>
      </c>
      <c r="N33" s="170">
        <v>118476</v>
      </c>
      <c r="O33" s="170">
        <v>0</v>
      </c>
      <c r="P33" s="170">
        <v>110390.24999999999</v>
      </c>
      <c r="Q33" s="170">
        <v>18933</v>
      </c>
      <c r="R33" s="170">
        <v>26417</v>
      </c>
      <c r="S33" s="170">
        <v>0</v>
      </c>
      <c r="T33" s="170">
        <v>0</v>
      </c>
      <c r="U33" s="170">
        <v>0</v>
      </c>
      <c r="V33" s="170">
        <v>161365</v>
      </c>
      <c r="W33" s="170">
        <v>52414.330240000003</v>
      </c>
      <c r="X33" s="170">
        <v>3794</v>
      </c>
      <c r="Y33" s="170">
        <v>1342</v>
      </c>
      <c r="Z33" s="170">
        <v>0</v>
      </c>
      <c r="AA33" s="171">
        <f t="shared" si="8"/>
        <v>602573.51297972607</v>
      </c>
      <c r="AB33" s="169"/>
      <c r="AC33" s="171">
        <f t="shared" si="9"/>
        <v>2541240.5453460985</v>
      </c>
      <c r="AF33" s="95"/>
      <c r="AH33" s="28"/>
      <c r="AJ33" s="28"/>
    </row>
    <row r="34" spans="1:36" x14ac:dyDescent="0.25">
      <c r="A34" s="6" t="str">
        <f t="shared" si="6"/>
        <v>North Primary School</v>
      </c>
      <c r="B34" s="49"/>
      <c r="C34" s="7">
        <v>3072115</v>
      </c>
      <c r="D34" s="6" t="s">
        <v>69</v>
      </c>
      <c r="E34" s="165">
        <v>2023592.9060308114</v>
      </c>
      <c r="F34" s="165">
        <v>-7223.7</v>
      </c>
      <c r="G34" s="165">
        <v>-11824.58</v>
      </c>
      <c r="H34" s="166">
        <v>2004544.6260308113</v>
      </c>
      <c r="I34" s="167">
        <v>0</v>
      </c>
      <c r="J34" s="168">
        <f t="shared" si="7"/>
        <v>2004544.6260308113</v>
      </c>
      <c r="K34" s="169">
        <v>3073513</v>
      </c>
      <c r="L34" s="170">
        <v>124865.98863013701</v>
      </c>
      <c r="M34" s="170">
        <v>0</v>
      </c>
      <c r="N34" s="170">
        <v>0</v>
      </c>
      <c r="O34" s="170">
        <v>0</v>
      </c>
      <c r="P34" s="170">
        <v>0</v>
      </c>
      <c r="Q34" s="170">
        <v>19529</v>
      </c>
      <c r="R34" s="170">
        <v>55501</v>
      </c>
      <c r="S34" s="170">
        <v>0</v>
      </c>
      <c r="T34" s="170">
        <v>0</v>
      </c>
      <c r="U34" s="170">
        <v>0</v>
      </c>
      <c r="V34" s="170">
        <v>111635</v>
      </c>
      <c r="W34" s="170">
        <v>58229.084479999998</v>
      </c>
      <c r="X34" s="170">
        <v>0</v>
      </c>
      <c r="Y34" s="170">
        <v>0</v>
      </c>
      <c r="Z34" s="170">
        <v>0</v>
      </c>
      <c r="AA34" s="171">
        <f t="shared" si="8"/>
        <v>369760.07311013702</v>
      </c>
      <c r="AB34" s="169"/>
      <c r="AC34" s="171">
        <f t="shared" si="9"/>
        <v>2374304.6991409482</v>
      </c>
      <c r="AF34" s="95"/>
      <c r="AH34" s="28"/>
      <c r="AJ34" s="28"/>
    </row>
    <row r="35" spans="1:36" x14ac:dyDescent="0.25">
      <c r="A35" s="6" t="str">
        <f t="shared" si="6"/>
        <v>Ravenor Primary School</v>
      </c>
      <c r="B35" s="49"/>
      <c r="C35" s="7">
        <v>3072121</v>
      </c>
      <c r="D35" s="6" t="s">
        <v>70</v>
      </c>
      <c r="E35" s="165">
        <v>3133865.6608199752</v>
      </c>
      <c r="F35" s="165">
        <v>-10835.55</v>
      </c>
      <c r="G35" s="165">
        <v>-17736.87</v>
      </c>
      <c r="H35" s="166">
        <v>3105293.2408199753</v>
      </c>
      <c r="I35" s="167">
        <v>0</v>
      </c>
      <c r="J35" s="168">
        <f t="shared" si="7"/>
        <v>3105293.2408199753</v>
      </c>
      <c r="K35" s="169">
        <v>3072163</v>
      </c>
      <c r="L35" s="170">
        <v>149484.06027397263</v>
      </c>
      <c r="M35" s="170">
        <v>0</v>
      </c>
      <c r="N35" s="170">
        <v>0</v>
      </c>
      <c r="O35" s="170">
        <v>0</v>
      </c>
      <c r="P35" s="170">
        <v>137354.45000000001</v>
      </c>
      <c r="Q35" s="170">
        <v>21221</v>
      </c>
      <c r="R35" s="170">
        <v>84567</v>
      </c>
      <c r="S35" s="170">
        <v>0</v>
      </c>
      <c r="T35" s="170">
        <v>0</v>
      </c>
      <c r="U35" s="170">
        <v>0</v>
      </c>
      <c r="V35" s="170">
        <v>243720</v>
      </c>
      <c r="W35" s="170">
        <v>91761.255040000004</v>
      </c>
      <c r="X35" s="170">
        <v>8061</v>
      </c>
      <c r="Y35" s="170">
        <v>2853</v>
      </c>
      <c r="Z35" s="170">
        <v>0</v>
      </c>
      <c r="AA35" s="171">
        <f t="shared" si="8"/>
        <v>739021.7653139726</v>
      </c>
      <c r="AB35" s="169"/>
      <c r="AC35" s="171">
        <f t="shared" si="9"/>
        <v>3844315.006133948</v>
      </c>
      <c r="AF35" s="95"/>
      <c r="AH35" s="28"/>
      <c r="AJ35" s="28"/>
    </row>
    <row r="36" spans="1:36" x14ac:dyDescent="0.25">
      <c r="A36" s="6" t="str">
        <f t="shared" si="6"/>
        <v>Selborne Primary School</v>
      </c>
      <c r="B36" s="49"/>
      <c r="C36" s="7">
        <v>3072125</v>
      </c>
      <c r="D36" s="6" t="s">
        <v>71</v>
      </c>
      <c r="E36" s="165">
        <v>2985556.9598576054</v>
      </c>
      <c r="F36" s="165">
        <v>-10672.200000000003</v>
      </c>
      <c r="G36" s="165">
        <v>-17469.48</v>
      </c>
      <c r="H36" s="166">
        <v>2957415.2798576052</v>
      </c>
      <c r="I36" s="167">
        <v>126000</v>
      </c>
      <c r="J36" s="168">
        <f t="shared" si="7"/>
        <v>3083415.2798576052</v>
      </c>
      <c r="K36" s="169">
        <v>3072088</v>
      </c>
      <c r="L36" s="170">
        <v>87758.947945205407</v>
      </c>
      <c r="M36" s="170">
        <v>0</v>
      </c>
      <c r="N36" s="170">
        <v>126294</v>
      </c>
      <c r="O36" s="170">
        <v>1873.4</v>
      </c>
      <c r="P36" s="170">
        <v>147333.70000000001</v>
      </c>
      <c r="Q36" s="170">
        <v>20898</v>
      </c>
      <c r="R36" s="170">
        <v>75916</v>
      </c>
      <c r="S36" s="170">
        <v>0</v>
      </c>
      <c r="T36" s="170">
        <v>0</v>
      </c>
      <c r="U36" s="170">
        <v>0</v>
      </c>
      <c r="V36" s="170">
        <v>255204.99999999994</v>
      </c>
      <c r="W36" s="170">
        <v>91176.678719999996</v>
      </c>
      <c r="X36" s="170">
        <v>10274</v>
      </c>
      <c r="Y36" s="170">
        <v>3636</v>
      </c>
      <c r="Z36" s="170">
        <v>0</v>
      </c>
      <c r="AA36" s="171">
        <f t="shared" si="8"/>
        <v>820365.72666520532</v>
      </c>
      <c r="AB36" s="169"/>
      <c r="AC36" s="171">
        <f t="shared" si="9"/>
        <v>3903781.0065228106</v>
      </c>
      <c r="AF36" s="95"/>
      <c r="AH36" s="28"/>
      <c r="AJ36" s="28"/>
    </row>
    <row r="37" spans="1:36" x14ac:dyDescent="0.25">
      <c r="A37" s="6" t="str">
        <f t="shared" si="6"/>
        <v>Hambrough Primary School</v>
      </c>
      <c r="B37" s="49"/>
      <c r="C37" s="7">
        <v>3072150</v>
      </c>
      <c r="D37" s="6" t="s">
        <v>72</v>
      </c>
      <c r="E37" s="165">
        <v>2112725.5976393442</v>
      </c>
      <c r="F37" s="165">
        <v>-7387.05</v>
      </c>
      <c r="G37" s="165">
        <v>-12091.97</v>
      </c>
      <c r="H37" s="166">
        <v>2093246.5776393441</v>
      </c>
      <c r="I37" s="167">
        <v>0</v>
      </c>
      <c r="J37" s="168">
        <f t="shared" si="7"/>
        <v>2093246.5776393441</v>
      </c>
      <c r="K37" s="169">
        <v>3072164</v>
      </c>
      <c r="L37" s="170">
        <v>100191.8589041096</v>
      </c>
      <c r="M37" s="170">
        <v>0</v>
      </c>
      <c r="N37" s="170">
        <v>0</v>
      </c>
      <c r="O37" s="170">
        <v>0</v>
      </c>
      <c r="P37" s="170">
        <v>195991.49999999997</v>
      </c>
      <c r="Q37" s="170">
        <v>19595</v>
      </c>
      <c r="R37" s="170">
        <v>47388</v>
      </c>
      <c r="S37" s="170">
        <v>0</v>
      </c>
      <c r="T37" s="170">
        <v>0</v>
      </c>
      <c r="U37" s="170">
        <v>0</v>
      </c>
      <c r="V37" s="170">
        <v>123395.00000000001</v>
      </c>
      <c r="W37" s="170">
        <v>60993.475839999992</v>
      </c>
      <c r="X37" s="170">
        <v>11222</v>
      </c>
      <c r="Y37" s="170">
        <v>3972</v>
      </c>
      <c r="Z37" s="170">
        <v>0</v>
      </c>
      <c r="AA37" s="171">
        <f t="shared" si="8"/>
        <v>562748.83474410954</v>
      </c>
      <c r="AB37" s="169"/>
      <c r="AC37" s="171">
        <f t="shared" si="9"/>
        <v>2655995.4123834539</v>
      </c>
      <c r="AF37" s="95"/>
      <c r="AH37" s="28"/>
      <c r="AJ37" s="28"/>
    </row>
    <row r="38" spans="1:36" x14ac:dyDescent="0.25">
      <c r="A38" s="6" t="str">
        <f t="shared" si="6"/>
        <v>Hobbayne Primary School</v>
      </c>
      <c r="B38" s="49"/>
      <c r="C38" s="7">
        <v>3072151</v>
      </c>
      <c r="D38" s="6" t="s">
        <v>73</v>
      </c>
      <c r="E38" s="165">
        <v>2119119.7543702954</v>
      </c>
      <c r="F38" s="165">
        <v>-8022.2999999999993</v>
      </c>
      <c r="G38" s="165">
        <v>-13131.82</v>
      </c>
      <c r="H38" s="166">
        <v>2097965.6343702953</v>
      </c>
      <c r="I38" s="167">
        <v>0</v>
      </c>
      <c r="J38" s="168">
        <f t="shared" si="7"/>
        <v>2097965.6343702953</v>
      </c>
      <c r="K38" s="169">
        <v>3072165</v>
      </c>
      <c r="L38" s="170">
        <v>116946.31616438361</v>
      </c>
      <c r="M38" s="170">
        <v>0</v>
      </c>
      <c r="N38" s="170">
        <v>0</v>
      </c>
      <c r="O38" s="170">
        <v>0</v>
      </c>
      <c r="P38" s="170">
        <v>75833.700000000012</v>
      </c>
      <c r="Q38" s="170">
        <v>20710</v>
      </c>
      <c r="R38" s="170">
        <v>51241</v>
      </c>
      <c r="S38" s="170">
        <v>0</v>
      </c>
      <c r="T38" s="170">
        <v>0</v>
      </c>
      <c r="U38" s="170">
        <v>0</v>
      </c>
      <c r="V38" s="170">
        <v>159710</v>
      </c>
      <c r="W38" s="170">
        <v>64433.173440000006</v>
      </c>
      <c r="X38" s="170">
        <v>4109</v>
      </c>
      <c r="Y38" s="170">
        <v>1454</v>
      </c>
      <c r="Z38" s="170">
        <v>0</v>
      </c>
      <c r="AA38" s="171">
        <f t="shared" si="8"/>
        <v>494437.1896043836</v>
      </c>
      <c r="AB38" s="169"/>
      <c r="AC38" s="171">
        <f t="shared" si="9"/>
        <v>2592402.8239746788</v>
      </c>
      <c r="AF38" s="95"/>
      <c r="AH38" s="28"/>
      <c r="AJ38" s="28"/>
    </row>
    <row r="39" spans="1:36" x14ac:dyDescent="0.25">
      <c r="A39" s="6" t="str">
        <f t="shared" ref="A39:A69" si="10">D39</f>
        <v>John Perryn Primary School</v>
      </c>
      <c r="B39" s="49"/>
      <c r="C39" s="7">
        <v>3072153</v>
      </c>
      <c r="D39" s="6" t="s">
        <v>74</v>
      </c>
      <c r="E39" s="165">
        <v>2045173.7530631293</v>
      </c>
      <c r="F39" s="165">
        <v>-6642.9</v>
      </c>
      <c r="G39" s="165">
        <v>-10873.86</v>
      </c>
      <c r="H39" s="166">
        <v>2027656.9930631293</v>
      </c>
      <c r="I39" s="167">
        <v>0</v>
      </c>
      <c r="J39" s="168">
        <f t="shared" ref="J39:J69" si="11">SUM(H39:I39)</f>
        <v>2027656.9930631293</v>
      </c>
      <c r="K39" s="169">
        <v>3074030</v>
      </c>
      <c r="L39" s="170">
        <v>74298.645342465723</v>
      </c>
      <c r="M39" s="170">
        <v>0</v>
      </c>
      <c r="N39" s="170">
        <v>0</v>
      </c>
      <c r="O39" s="170">
        <v>0</v>
      </c>
      <c r="P39" s="170">
        <v>66583.8</v>
      </c>
      <c r="Q39" s="170">
        <v>18890</v>
      </c>
      <c r="R39" s="170">
        <v>38514</v>
      </c>
      <c r="S39" s="170">
        <v>0</v>
      </c>
      <c r="T39" s="170">
        <v>0</v>
      </c>
      <c r="U39" s="170">
        <v>0</v>
      </c>
      <c r="V39" s="170">
        <v>188300</v>
      </c>
      <c r="W39" s="170">
        <v>60917.676159999988</v>
      </c>
      <c r="X39" s="170">
        <v>4109</v>
      </c>
      <c r="Y39" s="170">
        <v>1454</v>
      </c>
      <c r="Z39" s="170">
        <v>0</v>
      </c>
      <c r="AA39" s="171">
        <f t="shared" ref="AA39:AA69" si="12">SUM(L39:Z39)</f>
        <v>453067.12150246568</v>
      </c>
      <c r="AB39" s="169"/>
      <c r="AC39" s="171">
        <f t="shared" ref="AC39:AC69" si="13">AA39+J39</f>
        <v>2480724.1145655951</v>
      </c>
      <c r="AF39" s="95"/>
      <c r="AH39" s="28"/>
      <c r="AJ39" s="28"/>
    </row>
    <row r="40" spans="1:36" x14ac:dyDescent="0.25">
      <c r="A40" s="6" t="str">
        <f t="shared" si="10"/>
        <v>Southfield Primary School</v>
      </c>
      <c r="B40" s="49"/>
      <c r="C40" s="7">
        <v>3072154</v>
      </c>
      <c r="D40" s="6" t="s">
        <v>75</v>
      </c>
      <c r="E40" s="165">
        <v>1659047.1159095443</v>
      </c>
      <c r="F40" s="165">
        <v>-6207.3</v>
      </c>
      <c r="G40" s="165">
        <v>-10160.82</v>
      </c>
      <c r="H40" s="166">
        <v>1642678.9959095442</v>
      </c>
      <c r="I40" s="167">
        <v>0</v>
      </c>
      <c r="J40" s="168">
        <f t="shared" si="11"/>
        <v>1642678.9959095442</v>
      </c>
      <c r="K40" s="169">
        <v>3072012</v>
      </c>
      <c r="L40" s="170">
        <v>56102.693150684951</v>
      </c>
      <c r="M40" s="170">
        <v>0</v>
      </c>
      <c r="N40" s="170">
        <v>0</v>
      </c>
      <c r="O40" s="170">
        <v>0</v>
      </c>
      <c r="P40" s="170">
        <v>76028.399999999994</v>
      </c>
      <c r="Q40" s="170">
        <v>19023</v>
      </c>
      <c r="R40" s="170">
        <v>43887</v>
      </c>
      <c r="S40" s="170">
        <v>0</v>
      </c>
      <c r="T40" s="170">
        <v>0</v>
      </c>
      <c r="U40" s="170">
        <v>0</v>
      </c>
      <c r="V40" s="170">
        <v>127085</v>
      </c>
      <c r="W40" s="170">
        <v>50158.715519999998</v>
      </c>
      <c r="X40" s="170">
        <v>3952</v>
      </c>
      <c r="Y40" s="170">
        <v>1399</v>
      </c>
      <c r="Z40" s="170">
        <v>0</v>
      </c>
      <c r="AA40" s="171">
        <f t="shared" si="12"/>
        <v>377635.80867068493</v>
      </c>
      <c r="AB40" s="169"/>
      <c r="AC40" s="171">
        <f t="shared" si="13"/>
        <v>2020314.8045802291</v>
      </c>
      <c r="AF40" s="95"/>
      <c r="AH40" s="28"/>
      <c r="AJ40" s="28"/>
    </row>
    <row r="41" spans="1:36" x14ac:dyDescent="0.25">
      <c r="A41" s="6" t="str">
        <f t="shared" si="10"/>
        <v>Allenby Primary School</v>
      </c>
      <c r="B41" s="49"/>
      <c r="C41" s="7">
        <v>3072161</v>
      </c>
      <c r="D41" s="6" t="s">
        <v>76</v>
      </c>
      <c r="E41" s="165">
        <v>1252209.5862536025</v>
      </c>
      <c r="F41" s="165">
        <v>-4029.3000000000006</v>
      </c>
      <c r="G41" s="165">
        <v>-6595.62</v>
      </c>
      <c r="H41" s="166">
        <v>1241584.6662536026</v>
      </c>
      <c r="I41" s="167">
        <v>84000</v>
      </c>
      <c r="J41" s="168">
        <f t="shared" si="11"/>
        <v>1325584.6662536026</v>
      </c>
      <c r="K41" s="169">
        <v>3072011</v>
      </c>
      <c r="L41" s="170">
        <v>120731.53424657536</v>
      </c>
      <c r="M41" s="170">
        <v>0</v>
      </c>
      <c r="N41" s="170">
        <v>179614</v>
      </c>
      <c r="O41" s="170">
        <v>0</v>
      </c>
      <c r="P41" s="170">
        <v>136438.94999999998</v>
      </c>
      <c r="Q41" s="170">
        <v>17920</v>
      </c>
      <c r="R41" s="170">
        <v>27232</v>
      </c>
      <c r="S41" s="170">
        <v>0</v>
      </c>
      <c r="T41" s="170">
        <v>0</v>
      </c>
      <c r="U41" s="170">
        <v>0</v>
      </c>
      <c r="V41" s="170">
        <v>105219.99999999999</v>
      </c>
      <c r="W41" s="170">
        <v>37464.566079999997</v>
      </c>
      <c r="X41" s="170">
        <v>7428</v>
      </c>
      <c r="Y41" s="170">
        <v>2630</v>
      </c>
      <c r="Z41" s="170">
        <v>0</v>
      </c>
      <c r="AA41" s="171">
        <f t="shared" si="12"/>
        <v>634679.05032657541</v>
      </c>
      <c r="AB41" s="169"/>
      <c r="AC41" s="171">
        <f t="shared" si="13"/>
        <v>1960263.7165801781</v>
      </c>
      <c r="AF41" s="95"/>
      <c r="AH41" s="28"/>
      <c r="AJ41" s="28"/>
    </row>
    <row r="42" spans="1:36" x14ac:dyDescent="0.25">
      <c r="A42" s="6" t="str">
        <f t="shared" si="10"/>
        <v>Blair Peach Primary School</v>
      </c>
      <c r="B42" s="49"/>
      <c r="C42" s="7">
        <v>3072162</v>
      </c>
      <c r="D42" s="6" t="s">
        <v>77</v>
      </c>
      <c r="E42" s="165">
        <v>1914642.9426665381</v>
      </c>
      <c r="F42" s="165">
        <v>-6769.95</v>
      </c>
      <c r="G42" s="165">
        <v>-11081.83</v>
      </c>
      <c r="H42" s="166">
        <v>1896791.162666538</v>
      </c>
      <c r="I42" s="167">
        <v>0</v>
      </c>
      <c r="J42" s="168">
        <f t="shared" si="11"/>
        <v>1896791.162666538</v>
      </c>
      <c r="K42" s="169">
        <v>3072092</v>
      </c>
      <c r="L42" s="170">
        <v>92051.397260273981</v>
      </c>
      <c r="M42" s="170">
        <v>0</v>
      </c>
      <c r="N42" s="170">
        <v>0</v>
      </c>
      <c r="O42" s="170">
        <v>0</v>
      </c>
      <c r="P42" s="170">
        <v>172545.15000000002</v>
      </c>
      <c r="Q42" s="170">
        <v>19470</v>
      </c>
      <c r="R42" s="170">
        <v>40552</v>
      </c>
      <c r="S42" s="170">
        <v>0</v>
      </c>
      <c r="T42" s="170">
        <v>0</v>
      </c>
      <c r="U42" s="170">
        <v>0</v>
      </c>
      <c r="V42" s="170">
        <v>114325</v>
      </c>
      <c r="W42" s="170">
        <v>56179.047679999996</v>
      </c>
      <c r="X42" s="170">
        <v>10274</v>
      </c>
      <c r="Y42" s="170">
        <v>3636</v>
      </c>
      <c r="Z42" s="170">
        <v>0</v>
      </c>
      <c r="AA42" s="171">
        <f t="shared" si="12"/>
        <v>509032.59494027402</v>
      </c>
      <c r="AB42" s="169"/>
      <c r="AC42" s="171">
        <f t="shared" si="13"/>
        <v>2405823.7576068118</v>
      </c>
      <c r="AF42" s="95"/>
      <c r="AH42" s="28"/>
      <c r="AJ42" s="28"/>
    </row>
    <row r="43" spans="1:36" x14ac:dyDescent="0.25">
      <c r="A43" s="6" t="str">
        <f t="shared" si="10"/>
        <v>Clifton Primary School</v>
      </c>
      <c r="B43" s="49"/>
      <c r="C43" s="7">
        <v>3072163</v>
      </c>
      <c r="D43" s="6" t="s">
        <v>78</v>
      </c>
      <c r="E43" s="165">
        <v>2219060.5772135356</v>
      </c>
      <c r="F43" s="165">
        <v>-7550.4000000000005</v>
      </c>
      <c r="G43" s="165">
        <v>-12359.36</v>
      </c>
      <c r="H43" s="166">
        <v>2199150.8172135358</v>
      </c>
      <c r="I43" s="167">
        <v>0</v>
      </c>
      <c r="J43" s="168">
        <f t="shared" si="11"/>
        <v>2199150.8172135358</v>
      </c>
      <c r="K43" s="169">
        <v>3072094</v>
      </c>
      <c r="L43" s="170">
        <v>125053.17808219178</v>
      </c>
      <c r="M43" s="170">
        <v>0</v>
      </c>
      <c r="N43" s="170">
        <v>0</v>
      </c>
      <c r="O43" s="170">
        <v>0</v>
      </c>
      <c r="P43" s="170">
        <v>125054.55</v>
      </c>
      <c r="Q43" s="170">
        <v>19742</v>
      </c>
      <c r="R43" s="170">
        <v>35679</v>
      </c>
      <c r="S43" s="170">
        <v>0</v>
      </c>
      <c r="T43" s="170">
        <v>0</v>
      </c>
      <c r="U43" s="170">
        <v>0</v>
      </c>
      <c r="V43" s="170">
        <v>172814.99999999997</v>
      </c>
      <c r="W43" s="170">
        <v>64933.91072</v>
      </c>
      <c r="X43" s="170">
        <v>7903</v>
      </c>
      <c r="Y43" s="170">
        <v>2798</v>
      </c>
      <c r="Z43" s="170">
        <v>0</v>
      </c>
      <c r="AA43" s="171">
        <f t="shared" si="12"/>
        <v>553978.63880219182</v>
      </c>
      <c r="AB43" s="169"/>
      <c r="AC43" s="171">
        <f t="shared" si="13"/>
        <v>2753129.4560157275</v>
      </c>
      <c r="AF43" s="95"/>
      <c r="AH43" s="28"/>
      <c r="AJ43" s="28"/>
    </row>
    <row r="44" spans="1:36" x14ac:dyDescent="0.25">
      <c r="A44" s="6" t="str">
        <f t="shared" si="10"/>
        <v>Dairy Meadow Primary School</v>
      </c>
      <c r="B44" s="49"/>
      <c r="C44" s="7">
        <v>3072164</v>
      </c>
      <c r="D44" s="6" t="s">
        <v>79</v>
      </c>
      <c r="E44" s="165">
        <v>1996579.8651787005</v>
      </c>
      <c r="F44" s="165">
        <v>-6769.95</v>
      </c>
      <c r="G44" s="165">
        <v>-11081.83</v>
      </c>
      <c r="H44" s="166">
        <v>1978728.0851787005</v>
      </c>
      <c r="I44" s="167">
        <v>0</v>
      </c>
      <c r="J44" s="168">
        <f t="shared" si="11"/>
        <v>1978728.0851787005</v>
      </c>
      <c r="K44" s="169">
        <v>3075403</v>
      </c>
      <c r="L44" s="170">
        <v>93078.797397260336</v>
      </c>
      <c r="M44" s="170">
        <v>0</v>
      </c>
      <c r="N44" s="170">
        <v>0</v>
      </c>
      <c r="O44" s="170">
        <v>2185.62</v>
      </c>
      <c r="P44" s="170">
        <v>136308.74999999997</v>
      </c>
      <c r="Q44" s="170">
        <v>19465</v>
      </c>
      <c r="R44" s="170">
        <v>47536</v>
      </c>
      <c r="S44" s="170">
        <v>0</v>
      </c>
      <c r="T44" s="170">
        <v>0</v>
      </c>
      <c r="U44" s="170">
        <v>0</v>
      </c>
      <c r="V44" s="170">
        <v>151985.00000000003</v>
      </c>
      <c r="W44" s="170">
        <v>58329.002239999994</v>
      </c>
      <c r="X44" s="170">
        <v>7428</v>
      </c>
      <c r="Y44" s="170">
        <v>2630</v>
      </c>
      <c r="Z44" s="170">
        <v>0</v>
      </c>
      <c r="AA44" s="171">
        <f t="shared" si="12"/>
        <v>518946.16963726032</v>
      </c>
      <c r="AB44" s="169"/>
      <c r="AC44" s="171">
        <f t="shared" si="13"/>
        <v>2497674.2548159608</v>
      </c>
      <c r="AF44" s="95"/>
      <c r="AH44" s="28"/>
      <c r="AJ44" s="28"/>
    </row>
    <row r="45" spans="1:36" x14ac:dyDescent="0.25">
      <c r="A45" s="6" t="str">
        <f t="shared" si="10"/>
        <v>Derwentwater Primary School</v>
      </c>
      <c r="B45" s="49"/>
      <c r="C45" s="7">
        <v>3072165</v>
      </c>
      <c r="D45" s="6" t="s">
        <v>80</v>
      </c>
      <c r="E45" s="165">
        <v>2106119.00616547</v>
      </c>
      <c r="F45" s="165">
        <v>-7278.1500000000005</v>
      </c>
      <c r="G45" s="165">
        <v>-11913.71</v>
      </c>
      <c r="H45" s="166">
        <v>2086927.1461654701</v>
      </c>
      <c r="I45" s="167">
        <v>0</v>
      </c>
      <c r="J45" s="168">
        <f t="shared" si="11"/>
        <v>2086927.1461654701</v>
      </c>
      <c r="K45" s="169">
        <v>3072166</v>
      </c>
      <c r="L45" s="170">
        <v>52125.989041095898</v>
      </c>
      <c r="M45" s="170">
        <v>0</v>
      </c>
      <c r="N45" s="170">
        <v>0</v>
      </c>
      <c r="O45" s="170">
        <v>0</v>
      </c>
      <c r="P45" s="170">
        <v>111391.05</v>
      </c>
      <c r="Q45" s="170">
        <v>19654</v>
      </c>
      <c r="R45" s="170">
        <v>49036</v>
      </c>
      <c r="S45" s="170">
        <v>0</v>
      </c>
      <c r="T45" s="170">
        <v>0</v>
      </c>
      <c r="U45" s="170">
        <v>0</v>
      </c>
      <c r="V45" s="170">
        <v>178884.99999999997</v>
      </c>
      <c r="W45" s="170">
        <v>64842.032320000013</v>
      </c>
      <c r="X45" s="170">
        <v>5216</v>
      </c>
      <c r="Y45" s="170">
        <v>1846</v>
      </c>
      <c r="Z45" s="170">
        <v>0</v>
      </c>
      <c r="AA45" s="171">
        <f t="shared" si="12"/>
        <v>482996.07136109588</v>
      </c>
      <c r="AB45" s="169"/>
      <c r="AC45" s="171">
        <f t="shared" si="13"/>
        <v>2569923.2175265662</v>
      </c>
      <c r="AF45" s="95"/>
      <c r="AH45" s="28"/>
      <c r="AJ45" s="28"/>
    </row>
    <row r="46" spans="1:36" x14ac:dyDescent="0.25">
      <c r="A46" s="6" t="str">
        <f t="shared" si="10"/>
        <v>Durdans Park Primary School</v>
      </c>
      <c r="B46" s="49"/>
      <c r="C46" s="7">
        <v>3072166</v>
      </c>
      <c r="D46" s="6" t="s">
        <v>81</v>
      </c>
      <c r="E46" s="165">
        <v>1888837.6296919417</v>
      </c>
      <c r="F46" s="165">
        <v>-6842.55</v>
      </c>
      <c r="G46" s="165">
        <v>-11200.67</v>
      </c>
      <c r="H46" s="166">
        <v>1870794.4096919417</v>
      </c>
      <c r="I46" s="167">
        <v>0</v>
      </c>
      <c r="J46" s="168">
        <f t="shared" si="11"/>
        <v>1870794.4096919417</v>
      </c>
      <c r="K46" s="169">
        <v>3074001</v>
      </c>
      <c r="L46" s="170">
        <v>16511.865753424649</v>
      </c>
      <c r="M46" s="170">
        <v>0</v>
      </c>
      <c r="N46" s="170">
        <v>0</v>
      </c>
      <c r="O46" s="170">
        <v>0</v>
      </c>
      <c r="P46" s="170">
        <v>212512.35000000003</v>
      </c>
      <c r="Q46" s="170">
        <v>19467</v>
      </c>
      <c r="R46" s="170">
        <v>60447</v>
      </c>
      <c r="S46" s="170">
        <v>0</v>
      </c>
      <c r="T46" s="170">
        <v>0</v>
      </c>
      <c r="U46" s="170">
        <v>0</v>
      </c>
      <c r="V46" s="170">
        <v>53800</v>
      </c>
      <c r="W46" s="170">
        <v>52965.60063999999</v>
      </c>
      <c r="X46" s="170">
        <v>8851</v>
      </c>
      <c r="Y46" s="170">
        <v>3132</v>
      </c>
      <c r="Z46" s="170">
        <v>0</v>
      </c>
      <c r="AA46" s="171">
        <f t="shared" si="12"/>
        <v>427686.81639342464</v>
      </c>
      <c r="AB46" s="169"/>
      <c r="AC46" s="171">
        <f t="shared" si="13"/>
        <v>2298481.2260853662</v>
      </c>
      <c r="AF46" s="95"/>
      <c r="AH46" s="28"/>
      <c r="AJ46" s="28"/>
    </row>
    <row r="47" spans="1:36" x14ac:dyDescent="0.25">
      <c r="A47" s="6" t="str">
        <f t="shared" si="10"/>
        <v>Fielding Primary School</v>
      </c>
      <c r="B47" s="49"/>
      <c r="C47" s="7">
        <v>3072167</v>
      </c>
      <c r="D47" s="6" t="s">
        <v>82</v>
      </c>
      <c r="E47" s="165">
        <v>3710550</v>
      </c>
      <c r="F47" s="165">
        <v>-15790.5</v>
      </c>
      <c r="G47" s="165">
        <v>-25847.7</v>
      </c>
      <c r="H47" s="166">
        <v>3668911.8</v>
      </c>
      <c r="I47" s="167">
        <v>18000</v>
      </c>
      <c r="J47" s="168">
        <f t="shared" si="11"/>
        <v>3686911.8</v>
      </c>
      <c r="K47" s="169">
        <v>3072022</v>
      </c>
      <c r="L47" s="170">
        <v>259067.43342465753</v>
      </c>
      <c r="M47" s="170">
        <v>0</v>
      </c>
      <c r="N47" s="170">
        <v>20327</v>
      </c>
      <c r="O47" s="170">
        <v>17556.849999999995</v>
      </c>
      <c r="P47" s="170">
        <v>539160.04999999993</v>
      </c>
      <c r="Q47" s="170">
        <v>23139</v>
      </c>
      <c r="R47" s="170">
        <v>155369</v>
      </c>
      <c r="S47" s="170">
        <v>0</v>
      </c>
      <c r="T47" s="170">
        <v>0</v>
      </c>
      <c r="U47" s="170">
        <v>0</v>
      </c>
      <c r="V47" s="170">
        <v>103494.99999999999</v>
      </c>
      <c r="W47" s="170">
        <v>111966.46368</v>
      </c>
      <c r="X47" s="170">
        <v>20706</v>
      </c>
      <c r="Y47" s="170">
        <v>7329</v>
      </c>
      <c r="Z47" s="170">
        <v>0</v>
      </c>
      <c r="AA47" s="171">
        <f t="shared" si="12"/>
        <v>1258115.7971046574</v>
      </c>
      <c r="AB47" s="169"/>
      <c r="AC47" s="171">
        <f t="shared" si="13"/>
        <v>4945027.5971046574</v>
      </c>
      <c r="AF47" s="95"/>
      <c r="AH47" s="28"/>
      <c r="AJ47" s="28"/>
    </row>
    <row r="48" spans="1:36" x14ac:dyDescent="0.25">
      <c r="A48" s="6" t="str">
        <f t="shared" si="10"/>
        <v>Gifford Primary School</v>
      </c>
      <c r="B48" s="49"/>
      <c r="C48" s="7">
        <v>3072168</v>
      </c>
      <c r="D48" s="6" t="s">
        <v>83</v>
      </c>
      <c r="E48" s="165">
        <v>4569602.1632185932</v>
      </c>
      <c r="F48" s="165">
        <v>-15046.35</v>
      </c>
      <c r="G48" s="165">
        <v>-24629.59</v>
      </c>
      <c r="H48" s="166">
        <v>4529926.2232185928</v>
      </c>
      <c r="I48" s="167">
        <v>12000</v>
      </c>
      <c r="J48" s="168">
        <f t="shared" si="11"/>
        <v>4541926.2232185928</v>
      </c>
      <c r="K48" s="169">
        <v>3073510</v>
      </c>
      <c r="L48" s="170">
        <v>250234.27452054794</v>
      </c>
      <c r="M48" s="170">
        <v>0</v>
      </c>
      <c r="N48" s="170">
        <v>18361</v>
      </c>
      <c r="O48" s="170">
        <v>0</v>
      </c>
      <c r="P48" s="170">
        <v>246170.25000000003</v>
      </c>
      <c r="Q48" s="170">
        <v>23190</v>
      </c>
      <c r="R48" s="170">
        <v>107613</v>
      </c>
      <c r="S48" s="170">
        <v>0</v>
      </c>
      <c r="T48" s="170">
        <v>0</v>
      </c>
      <c r="U48" s="170">
        <v>0</v>
      </c>
      <c r="V48" s="170">
        <v>417224.99999999988</v>
      </c>
      <c r="W48" s="170">
        <v>128335.74911999999</v>
      </c>
      <c r="X48" s="170">
        <v>14700</v>
      </c>
      <c r="Y48" s="170">
        <v>5203</v>
      </c>
      <c r="Z48" s="170">
        <v>0</v>
      </c>
      <c r="AA48" s="171">
        <f t="shared" si="12"/>
        <v>1211032.2736405479</v>
      </c>
      <c r="AB48" s="169"/>
      <c r="AC48" s="171">
        <f t="shared" si="13"/>
        <v>5752958.4968591407</v>
      </c>
      <c r="AF48" s="95"/>
      <c r="AH48" s="28"/>
      <c r="AJ48" s="28"/>
    </row>
    <row r="49" spans="1:36" x14ac:dyDescent="0.25">
      <c r="A49" s="6" t="str">
        <f t="shared" si="10"/>
        <v>Greenwood Primary School</v>
      </c>
      <c r="B49" s="49"/>
      <c r="C49" s="7">
        <v>3072169</v>
      </c>
      <c r="D49" s="6" t="s">
        <v>84</v>
      </c>
      <c r="E49" s="165">
        <v>2821747.2496378315</v>
      </c>
      <c r="F49" s="165">
        <v>-9909.9000000000015</v>
      </c>
      <c r="G49" s="165">
        <v>-16221.66</v>
      </c>
      <c r="H49" s="166">
        <v>2795615.6896378314</v>
      </c>
      <c r="I49" s="167">
        <v>0</v>
      </c>
      <c r="J49" s="168">
        <f t="shared" si="11"/>
        <v>2795615.6896378314</v>
      </c>
      <c r="K49" s="169">
        <v>3075402</v>
      </c>
      <c r="L49" s="170">
        <v>63160.879452054804</v>
      </c>
      <c r="M49" s="170">
        <v>0</v>
      </c>
      <c r="N49" s="170">
        <v>0</v>
      </c>
      <c r="O49" s="170">
        <v>0</v>
      </c>
      <c r="P49" s="170">
        <v>110774.55000000002</v>
      </c>
      <c r="Q49" s="170">
        <v>20855</v>
      </c>
      <c r="R49" s="170">
        <v>71822</v>
      </c>
      <c r="S49" s="170">
        <v>0</v>
      </c>
      <c r="T49" s="170">
        <v>0</v>
      </c>
      <c r="U49" s="170">
        <v>0</v>
      </c>
      <c r="V49" s="170">
        <v>147605</v>
      </c>
      <c r="W49" s="170">
        <v>77979.495039999994</v>
      </c>
      <c r="X49" s="170">
        <v>6638</v>
      </c>
      <c r="Y49" s="170">
        <v>2349</v>
      </c>
      <c r="Z49" s="170">
        <v>0</v>
      </c>
      <c r="AA49" s="171">
        <f t="shared" si="12"/>
        <v>501183.92449205479</v>
      </c>
      <c r="AB49" s="169"/>
      <c r="AC49" s="171">
        <f t="shared" si="13"/>
        <v>3296799.614129886</v>
      </c>
      <c r="AF49" s="95"/>
      <c r="AH49" s="28"/>
      <c r="AJ49" s="28"/>
    </row>
    <row r="50" spans="1:36" x14ac:dyDescent="0.25">
      <c r="A50" s="6" t="str">
        <f t="shared" si="10"/>
        <v>Havelock Primary School and Nursery</v>
      </c>
      <c r="B50" s="49"/>
      <c r="C50" s="7">
        <v>3072170</v>
      </c>
      <c r="D50" s="6" t="s">
        <v>85</v>
      </c>
      <c r="E50" s="165">
        <v>2044731.420688238</v>
      </c>
      <c r="F50" s="165">
        <v>-6624.75</v>
      </c>
      <c r="G50" s="165">
        <v>-10844.15</v>
      </c>
      <c r="H50" s="166">
        <v>2027262.5206882381</v>
      </c>
      <c r="I50" s="167">
        <v>134500</v>
      </c>
      <c r="J50" s="168">
        <f t="shared" si="11"/>
        <v>2161762.5206882381</v>
      </c>
      <c r="K50" s="169">
        <v>3074036</v>
      </c>
      <c r="L50" s="170">
        <v>79190.608219178088</v>
      </c>
      <c r="M50" s="170">
        <v>0</v>
      </c>
      <c r="N50" s="170">
        <v>126278</v>
      </c>
      <c r="O50" s="170">
        <v>0</v>
      </c>
      <c r="P50" s="170">
        <v>120852.9</v>
      </c>
      <c r="Q50" s="170">
        <v>19287</v>
      </c>
      <c r="R50" s="170">
        <v>43608</v>
      </c>
      <c r="S50" s="170">
        <v>0</v>
      </c>
      <c r="T50" s="170">
        <v>0</v>
      </c>
      <c r="U50" s="170">
        <v>0</v>
      </c>
      <c r="V50" s="170">
        <v>156020.00000000003</v>
      </c>
      <c r="W50" s="170">
        <v>58696.515839999993</v>
      </c>
      <c r="X50" s="170">
        <v>7271</v>
      </c>
      <c r="Y50" s="170">
        <v>2573</v>
      </c>
      <c r="Z50" s="170">
        <v>0</v>
      </c>
      <c r="AA50" s="171">
        <f t="shared" si="12"/>
        <v>613777.02405917807</v>
      </c>
      <c r="AB50" s="169"/>
      <c r="AC50" s="171">
        <f t="shared" si="13"/>
        <v>2775539.5447474159</v>
      </c>
      <c r="AF50" s="95"/>
      <c r="AH50" s="28"/>
      <c r="AJ50" s="28"/>
    </row>
    <row r="51" spans="1:36" x14ac:dyDescent="0.25">
      <c r="A51" s="6" t="str">
        <f t="shared" si="10"/>
        <v>Horsenden Primary School</v>
      </c>
      <c r="B51" s="49"/>
      <c r="C51" s="7">
        <v>3072171</v>
      </c>
      <c r="D51" s="6" t="s">
        <v>86</v>
      </c>
      <c r="E51" s="165">
        <v>3428902.1617875104</v>
      </c>
      <c r="F51" s="165">
        <v>-12904.65</v>
      </c>
      <c r="G51" s="165">
        <v>-21123.81</v>
      </c>
      <c r="H51" s="166">
        <v>3394873.7017875104</v>
      </c>
      <c r="I51" s="167">
        <v>0</v>
      </c>
      <c r="J51" s="168">
        <f t="shared" si="11"/>
        <v>3394873.7017875104</v>
      </c>
      <c r="K51" s="169">
        <v>3074031</v>
      </c>
      <c r="L51" s="170">
        <v>137029.86575342467</v>
      </c>
      <c r="M51" s="170">
        <v>0</v>
      </c>
      <c r="N51" s="170">
        <v>0</v>
      </c>
      <c r="O51" s="170">
        <v>1873.4</v>
      </c>
      <c r="P51" s="170">
        <v>205013.84999999995</v>
      </c>
      <c r="Q51" s="170">
        <v>22815</v>
      </c>
      <c r="R51" s="170">
        <v>121599</v>
      </c>
      <c r="S51" s="170">
        <v>0</v>
      </c>
      <c r="T51" s="170">
        <v>0</v>
      </c>
      <c r="U51" s="170">
        <v>0</v>
      </c>
      <c r="V51" s="170">
        <v>172469.99999999997</v>
      </c>
      <c r="W51" s="170">
        <v>98626.86847999999</v>
      </c>
      <c r="X51" s="170">
        <v>9641</v>
      </c>
      <c r="Y51" s="170">
        <v>3412</v>
      </c>
      <c r="Z51" s="170">
        <v>0</v>
      </c>
      <c r="AA51" s="171">
        <f t="shared" si="12"/>
        <v>772480.98423342453</v>
      </c>
      <c r="AB51" s="169"/>
      <c r="AC51" s="171">
        <f t="shared" si="13"/>
        <v>4167354.686020935</v>
      </c>
      <c r="AF51" s="95"/>
      <c r="AH51" s="28"/>
      <c r="AJ51" s="28"/>
    </row>
    <row r="52" spans="1:36" x14ac:dyDescent="0.25">
      <c r="A52" s="6" t="str">
        <f t="shared" si="10"/>
        <v>Willow Tree Primary School</v>
      </c>
      <c r="B52" s="49"/>
      <c r="C52" s="7">
        <v>3072172</v>
      </c>
      <c r="D52" s="6" t="s">
        <v>87</v>
      </c>
      <c r="E52" s="165">
        <v>2652228.8940386414</v>
      </c>
      <c r="F52" s="165">
        <v>-8802.75</v>
      </c>
      <c r="G52" s="165">
        <v>-14409.35</v>
      </c>
      <c r="H52" s="166">
        <v>2629016.7940386413</v>
      </c>
      <c r="I52" s="167">
        <v>144000</v>
      </c>
      <c r="J52" s="168">
        <f t="shared" si="11"/>
        <v>2773016.7940386413</v>
      </c>
      <c r="K52" s="169">
        <v>3072180</v>
      </c>
      <c r="L52" s="170">
        <v>103984.17452054794</v>
      </c>
      <c r="M52" s="170">
        <v>0</v>
      </c>
      <c r="N52" s="170">
        <v>136024</v>
      </c>
      <c r="O52" s="170">
        <v>0</v>
      </c>
      <c r="P52" s="170">
        <v>111227.15</v>
      </c>
      <c r="Q52" s="170">
        <v>20633</v>
      </c>
      <c r="R52" s="170">
        <v>37162</v>
      </c>
      <c r="S52" s="170">
        <v>0</v>
      </c>
      <c r="T52" s="170">
        <v>0</v>
      </c>
      <c r="U52" s="170">
        <v>0</v>
      </c>
      <c r="V52" s="170">
        <v>285140</v>
      </c>
      <c r="W52" s="170">
        <v>78452.66879999997</v>
      </c>
      <c r="X52" s="170">
        <v>6007</v>
      </c>
      <c r="Y52" s="170">
        <v>2126</v>
      </c>
      <c r="Z52" s="170">
        <v>0</v>
      </c>
      <c r="AA52" s="171">
        <f t="shared" si="12"/>
        <v>780755.99332054786</v>
      </c>
      <c r="AB52" s="169"/>
      <c r="AC52" s="171">
        <f t="shared" si="13"/>
        <v>3553772.7873591892</v>
      </c>
      <c r="AF52" s="95"/>
      <c r="AH52" s="28"/>
      <c r="AJ52" s="28"/>
    </row>
    <row r="53" spans="1:36" x14ac:dyDescent="0.25">
      <c r="A53" s="6" t="str">
        <f t="shared" si="10"/>
        <v>Lady Margaret Primary School</v>
      </c>
      <c r="B53" s="49"/>
      <c r="C53" s="7">
        <v>3072173</v>
      </c>
      <c r="D53" s="6" t="s">
        <v>88</v>
      </c>
      <c r="E53" s="165">
        <v>2822599.9427340757</v>
      </c>
      <c r="F53" s="165">
        <v>-10000.65</v>
      </c>
      <c r="G53" s="165">
        <v>-16370.21</v>
      </c>
      <c r="H53" s="166">
        <v>2796229.0827340758</v>
      </c>
      <c r="I53" s="167">
        <v>0</v>
      </c>
      <c r="J53" s="168">
        <f t="shared" si="11"/>
        <v>2796229.0827340758</v>
      </c>
      <c r="K53" s="169">
        <v>3072167</v>
      </c>
      <c r="L53" s="170">
        <v>51878.366164383551</v>
      </c>
      <c r="M53" s="170">
        <v>0</v>
      </c>
      <c r="N53" s="170">
        <v>0</v>
      </c>
      <c r="O53" s="170">
        <v>0</v>
      </c>
      <c r="P53" s="170">
        <v>165425.99999999997</v>
      </c>
      <c r="Q53" s="170">
        <v>21108</v>
      </c>
      <c r="R53" s="170">
        <v>67876</v>
      </c>
      <c r="S53" s="170">
        <v>0</v>
      </c>
      <c r="T53" s="170">
        <v>0</v>
      </c>
      <c r="U53" s="170">
        <v>0</v>
      </c>
      <c r="V53" s="170">
        <v>207130</v>
      </c>
      <c r="W53" s="170">
        <v>82897.286399999968</v>
      </c>
      <c r="X53" s="170">
        <v>10116</v>
      </c>
      <c r="Y53" s="170">
        <v>3580</v>
      </c>
      <c r="Z53" s="170">
        <v>0</v>
      </c>
      <c r="AA53" s="171">
        <f t="shared" si="12"/>
        <v>610011.65256438346</v>
      </c>
      <c r="AB53" s="169"/>
      <c r="AC53" s="171">
        <f t="shared" si="13"/>
        <v>3406240.7352984594</v>
      </c>
      <c r="AF53" s="95"/>
      <c r="AH53" s="28"/>
      <c r="AJ53" s="28"/>
    </row>
    <row r="54" spans="1:36" x14ac:dyDescent="0.25">
      <c r="A54" s="6" t="str">
        <f t="shared" si="10"/>
        <v>Little Ealing Primary School</v>
      </c>
      <c r="B54" s="49"/>
      <c r="C54" s="7">
        <v>3072174</v>
      </c>
      <c r="D54" s="6" t="s">
        <v>89</v>
      </c>
      <c r="E54" s="165">
        <v>2764171.9265560368</v>
      </c>
      <c r="F54" s="165">
        <v>-11361.9</v>
      </c>
      <c r="G54" s="165">
        <v>-18598.46</v>
      </c>
      <c r="H54" s="166">
        <v>2734211.5665560369</v>
      </c>
      <c r="I54" s="167">
        <v>0</v>
      </c>
      <c r="J54" s="168">
        <f t="shared" si="11"/>
        <v>2734211.5665560369</v>
      </c>
      <c r="K54" s="169">
        <v>3072168</v>
      </c>
      <c r="L54" s="170">
        <v>144855.11232876714</v>
      </c>
      <c r="M54" s="170">
        <v>0</v>
      </c>
      <c r="N54" s="170">
        <v>0</v>
      </c>
      <c r="O54" s="170">
        <v>2810.1000000000004</v>
      </c>
      <c r="P54" s="170">
        <v>205290.23999999999</v>
      </c>
      <c r="Q54" s="170">
        <v>21317</v>
      </c>
      <c r="R54" s="170">
        <v>102573</v>
      </c>
      <c r="S54" s="170">
        <v>0</v>
      </c>
      <c r="T54" s="170">
        <v>0</v>
      </c>
      <c r="U54" s="170">
        <v>0</v>
      </c>
      <c r="V54" s="170">
        <v>98080.000000000029</v>
      </c>
      <c r="W54" s="170">
        <v>81254.959999999992</v>
      </c>
      <c r="X54" s="170">
        <v>8219</v>
      </c>
      <c r="Y54" s="170">
        <v>2909</v>
      </c>
      <c r="Z54" s="170">
        <v>0</v>
      </c>
      <c r="AA54" s="171">
        <f t="shared" si="12"/>
        <v>667308.41232876712</v>
      </c>
      <c r="AB54" s="169"/>
      <c r="AC54" s="171">
        <f t="shared" si="13"/>
        <v>3401519.9788848041</v>
      </c>
      <c r="AF54" s="95"/>
      <c r="AH54" s="28"/>
      <c r="AJ54" s="28"/>
    </row>
    <row r="55" spans="1:36" x14ac:dyDescent="0.25">
      <c r="A55" s="6" t="str">
        <f t="shared" si="10"/>
        <v>Oaklands Primary School</v>
      </c>
      <c r="B55" s="49"/>
      <c r="C55" s="7">
        <v>3072175</v>
      </c>
      <c r="D55" s="6" t="s">
        <v>90</v>
      </c>
      <c r="E55" s="165">
        <v>1953328.2541379309</v>
      </c>
      <c r="F55" s="165">
        <v>-7405.2000000000007</v>
      </c>
      <c r="G55" s="165">
        <v>-12121.68</v>
      </c>
      <c r="H55" s="166">
        <v>1933801.374137931</v>
      </c>
      <c r="I55" s="167">
        <v>0</v>
      </c>
      <c r="J55" s="168">
        <f t="shared" si="11"/>
        <v>1933801.374137931</v>
      </c>
      <c r="K55" s="169">
        <v>3072187</v>
      </c>
      <c r="L55" s="170">
        <v>117295.4465753425</v>
      </c>
      <c r="M55" s="170">
        <v>0</v>
      </c>
      <c r="N55" s="170">
        <v>0</v>
      </c>
      <c r="O55" s="170">
        <v>0</v>
      </c>
      <c r="P55" s="170">
        <v>143479.34999999998</v>
      </c>
      <c r="Q55" s="170">
        <v>19767</v>
      </c>
      <c r="R55" s="170">
        <v>50000</v>
      </c>
      <c r="S55" s="170">
        <v>0</v>
      </c>
      <c r="T55" s="170">
        <v>0</v>
      </c>
      <c r="U55" s="170">
        <v>0</v>
      </c>
      <c r="V55" s="170">
        <v>114289.99999999997</v>
      </c>
      <c r="W55" s="170">
        <v>58981.338879999996</v>
      </c>
      <c r="X55" s="170">
        <v>6165</v>
      </c>
      <c r="Y55" s="170">
        <v>2182</v>
      </c>
      <c r="Z55" s="170">
        <v>0</v>
      </c>
      <c r="AA55" s="171">
        <f t="shared" si="12"/>
        <v>512160.13545534242</v>
      </c>
      <c r="AB55" s="169"/>
      <c r="AC55" s="171">
        <f t="shared" si="13"/>
        <v>2445961.5095932735</v>
      </c>
      <c r="AF55" s="95"/>
      <c r="AH55" s="28"/>
      <c r="AJ55" s="28"/>
    </row>
    <row r="56" spans="1:36" x14ac:dyDescent="0.25">
      <c r="A56" s="6" t="str">
        <f t="shared" si="10"/>
        <v>Perivale Primary School</v>
      </c>
      <c r="B56" s="49"/>
      <c r="C56" s="7">
        <v>3072176</v>
      </c>
      <c r="D56" s="6" t="s">
        <v>91</v>
      </c>
      <c r="E56" s="165">
        <v>2129568.485400626</v>
      </c>
      <c r="F56" s="165">
        <v>-7532.25</v>
      </c>
      <c r="G56" s="165">
        <v>-12329.65</v>
      </c>
      <c r="H56" s="166">
        <v>2109706.5854006261</v>
      </c>
      <c r="I56" s="167">
        <v>0</v>
      </c>
      <c r="J56" s="168">
        <f t="shared" si="11"/>
        <v>2109706.5854006261</v>
      </c>
      <c r="K56" s="169">
        <v>3075401</v>
      </c>
      <c r="L56" s="170">
        <v>72862.385068493182</v>
      </c>
      <c r="M56" s="170">
        <v>0</v>
      </c>
      <c r="N56" s="170">
        <v>0</v>
      </c>
      <c r="O56" s="170">
        <v>1873.4</v>
      </c>
      <c r="P56" s="170">
        <v>138347.25</v>
      </c>
      <c r="Q56" s="170">
        <v>19531</v>
      </c>
      <c r="R56" s="170">
        <v>55557</v>
      </c>
      <c r="S56" s="170">
        <v>0</v>
      </c>
      <c r="T56" s="170">
        <v>0</v>
      </c>
      <c r="U56" s="170">
        <v>0</v>
      </c>
      <c r="V56" s="170">
        <v>163745</v>
      </c>
      <c r="W56" s="170">
        <v>63703.888639999997</v>
      </c>
      <c r="X56" s="170">
        <v>7903</v>
      </c>
      <c r="Y56" s="170">
        <v>2798</v>
      </c>
      <c r="Z56" s="170">
        <v>0</v>
      </c>
      <c r="AA56" s="171">
        <f t="shared" si="12"/>
        <v>526320.92370849312</v>
      </c>
      <c r="AB56" s="169"/>
      <c r="AC56" s="171">
        <f t="shared" si="13"/>
        <v>2636027.509109119</v>
      </c>
      <c r="AF56" s="95"/>
      <c r="AH56" s="28"/>
      <c r="AJ56" s="28"/>
    </row>
    <row r="57" spans="1:36" x14ac:dyDescent="0.25">
      <c r="A57" s="6" t="str">
        <f t="shared" si="10"/>
        <v>Stanhope Primary School</v>
      </c>
      <c r="B57" s="49"/>
      <c r="C57" s="7">
        <v>3072177</v>
      </c>
      <c r="D57" s="6" t="s">
        <v>92</v>
      </c>
      <c r="E57" s="165">
        <v>1644905.5329012452</v>
      </c>
      <c r="F57" s="165">
        <v>-5735.4</v>
      </c>
      <c r="G57" s="165">
        <v>-9388.36</v>
      </c>
      <c r="H57" s="166">
        <v>1629781.7729012452</v>
      </c>
      <c r="I57" s="167">
        <v>0</v>
      </c>
      <c r="J57" s="168">
        <f t="shared" si="11"/>
        <v>1629781.7729012452</v>
      </c>
      <c r="K57" s="169">
        <v>3072169</v>
      </c>
      <c r="L57" s="170">
        <v>62719.848904109604</v>
      </c>
      <c r="M57" s="170">
        <v>0</v>
      </c>
      <c r="N57" s="170">
        <v>0</v>
      </c>
      <c r="O57" s="170">
        <v>936.7</v>
      </c>
      <c r="P57" s="170">
        <v>117132.3</v>
      </c>
      <c r="Q57" s="170">
        <v>19170</v>
      </c>
      <c r="R57" s="170">
        <v>45443</v>
      </c>
      <c r="S57" s="170">
        <v>0</v>
      </c>
      <c r="T57" s="170">
        <v>0</v>
      </c>
      <c r="U57" s="170">
        <v>0</v>
      </c>
      <c r="V57" s="170">
        <v>136845</v>
      </c>
      <c r="W57" s="170">
        <v>50126.558079999995</v>
      </c>
      <c r="X57" s="170">
        <v>5374</v>
      </c>
      <c r="Y57" s="170">
        <v>1902</v>
      </c>
      <c r="Z57" s="170">
        <v>0</v>
      </c>
      <c r="AA57" s="171">
        <f t="shared" si="12"/>
        <v>439649.40698410961</v>
      </c>
      <c r="AB57" s="169"/>
      <c r="AC57" s="171">
        <f t="shared" si="13"/>
        <v>2069431.1798853548</v>
      </c>
      <c r="AF57" s="95"/>
      <c r="AH57" s="28"/>
      <c r="AJ57" s="28"/>
    </row>
    <row r="58" spans="1:36" x14ac:dyDescent="0.25">
      <c r="A58" s="6" t="str">
        <f t="shared" si="10"/>
        <v>Viking Primary School</v>
      </c>
      <c r="B58" s="49"/>
      <c r="C58" s="7">
        <v>3072178</v>
      </c>
      <c r="D58" s="6" t="s">
        <v>93</v>
      </c>
      <c r="E58" s="165">
        <v>1133156.3694033611</v>
      </c>
      <c r="F58" s="165">
        <v>-3357.75</v>
      </c>
      <c r="G58" s="165">
        <v>-5496.35</v>
      </c>
      <c r="H58" s="166">
        <v>1124302.269403361</v>
      </c>
      <c r="I58" s="167">
        <v>0</v>
      </c>
      <c r="J58" s="168">
        <f t="shared" si="11"/>
        <v>1124302.269403361</v>
      </c>
      <c r="K58" s="169">
        <v>3071002</v>
      </c>
      <c r="L58" s="170">
        <v>64006.379178082214</v>
      </c>
      <c r="M58" s="170">
        <v>0</v>
      </c>
      <c r="N58" s="170">
        <v>0</v>
      </c>
      <c r="O58" s="170">
        <v>1873.4</v>
      </c>
      <c r="P58" s="170">
        <v>60252.63</v>
      </c>
      <c r="Q58" s="170">
        <v>17714</v>
      </c>
      <c r="R58" s="170">
        <v>25102</v>
      </c>
      <c r="S58" s="170">
        <v>0</v>
      </c>
      <c r="T58" s="170">
        <v>0</v>
      </c>
      <c r="U58" s="170">
        <v>0</v>
      </c>
      <c r="V58" s="170">
        <v>122395.00000000003</v>
      </c>
      <c r="W58" s="170">
        <v>34493.448319999996</v>
      </c>
      <c r="X58" s="170">
        <v>2845</v>
      </c>
      <c r="Y58" s="170">
        <v>1007</v>
      </c>
      <c r="Z58" s="170">
        <v>0</v>
      </c>
      <c r="AA58" s="171">
        <f t="shared" si="12"/>
        <v>329688.85749808222</v>
      </c>
      <c r="AB58" s="169"/>
      <c r="AC58" s="171">
        <f t="shared" si="13"/>
        <v>1453991.1269014431</v>
      </c>
      <c r="AF58" s="95"/>
      <c r="AH58" s="28"/>
      <c r="AJ58" s="28"/>
    </row>
    <row r="59" spans="1:36" x14ac:dyDescent="0.25">
      <c r="A59" s="6" t="str">
        <f t="shared" si="10"/>
        <v>Wolf Fields Primary School</v>
      </c>
      <c r="B59" s="49"/>
      <c r="C59" s="7">
        <v>3072179</v>
      </c>
      <c r="D59" s="6" t="s">
        <v>94</v>
      </c>
      <c r="E59" s="165">
        <v>1397138.997136842</v>
      </c>
      <c r="F59" s="165">
        <v>-4519.3499999999995</v>
      </c>
      <c r="G59" s="165">
        <v>-7397.79</v>
      </c>
      <c r="H59" s="166">
        <v>1385221.8571368421</v>
      </c>
      <c r="I59" s="167">
        <v>0</v>
      </c>
      <c r="J59" s="168">
        <f t="shared" si="11"/>
        <v>1385221.8571368421</v>
      </c>
      <c r="K59" s="169">
        <v>3072150</v>
      </c>
      <c r="L59" s="170">
        <v>39799.149041095901</v>
      </c>
      <c r="M59" s="170">
        <v>0</v>
      </c>
      <c r="N59" s="170">
        <v>0</v>
      </c>
      <c r="O59" s="170">
        <v>0</v>
      </c>
      <c r="P59" s="170">
        <v>48718.05</v>
      </c>
      <c r="Q59" s="170">
        <v>18675</v>
      </c>
      <c r="R59" s="170">
        <v>25658</v>
      </c>
      <c r="S59" s="170">
        <v>0</v>
      </c>
      <c r="T59" s="170">
        <v>0</v>
      </c>
      <c r="U59" s="170">
        <v>0</v>
      </c>
      <c r="V59" s="170">
        <v>108600</v>
      </c>
      <c r="W59" s="170">
        <v>40286.38143999999</v>
      </c>
      <c r="X59" s="170">
        <v>3794</v>
      </c>
      <c r="Y59" s="170">
        <v>1342</v>
      </c>
      <c r="Z59" s="170">
        <v>0</v>
      </c>
      <c r="AA59" s="171">
        <f t="shared" si="12"/>
        <v>286872.58048109588</v>
      </c>
      <c r="AB59" s="169"/>
      <c r="AC59" s="171">
        <f t="shared" si="13"/>
        <v>1672094.437617938</v>
      </c>
      <c r="AF59" s="95"/>
      <c r="AH59" s="28"/>
      <c r="AJ59" s="28"/>
    </row>
    <row r="60" spans="1:36" x14ac:dyDescent="0.25">
      <c r="A60" s="6" t="str">
        <f t="shared" si="10"/>
        <v>Featherstone Primary and Nursery School</v>
      </c>
      <c r="B60" s="49"/>
      <c r="C60" s="7">
        <v>3072180</v>
      </c>
      <c r="D60" s="6" t="s">
        <v>95</v>
      </c>
      <c r="E60" s="165">
        <v>3301681.2140655359</v>
      </c>
      <c r="F60" s="165">
        <v>-11017.05</v>
      </c>
      <c r="G60" s="165">
        <v>-18033.97</v>
      </c>
      <c r="H60" s="166">
        <v>3272630.1940655359</v>
      </c>
      <c r="I60" s="167">
        <v>0</v>
      </c>
      <c r="J60" s="168">
        <f t="shared" si="11"/>
        <v>3272630.1940655359</v>
      </c>
      <c r="K60" s="169">
        <v>3072170</v>
      </c>
      <c r="L60" s="170">
        <v>201835.46849315078</v>
      </c>
      <c r="M60" s="170">
        <v>0</v>
      </c>
      <c r="N60" s="170">
        <v>0</v>
      </c>
      <c r="O60" s="170">
        <v>3746.7900000000004</v>
      </c>
      <c r="P60" s="170">
        <v>228561.00000000003</v>
      </c>
      <c r="Q60" s="170">
        <v>21323</v>
      </c>
      <c r="R60" s="170">
        <v>72470</v>
      </c>
      <c r="S60" s="170">
        <v>0</v>
      </c>
      <c r="T60" s="170">
        <v>0</v>
      </c>
      <c r="U60" s="170">
        <v>0</v>
      </c>
      <c r="V60" s="170">
        <v>217200.00000000003</v>
      </c>
      <c r="W60" s="170">
        <v>90650.674880000006</v>
      </c>
      <c r="X60" s="170">
        <v>12170</v>
      </c>
      <c r="Y60" s="170">
        <v>4308</v>
      </c>
      <c r="Z60" s="170">
        <v>0</v>
      </c>
      <c r="AA60" s="171">
        <f t="shared" si="12"/>
        <v>852264.93337315088</v>
      </c>
      <c r="AB60" s="169"/>
      <c r="AC60" s="171">
        <f t="shared" si="13"/>
        <v>4124895.1274386868</v>
      </c>
      <c r="AF60" s="95"/>
      <c r="AH60" s="28"/>
      <c r="AJ60" s="28"/>
    </row>
    <row r="61" spans="1:36" x14ac:dyDescent="0.25">
      <c r="A61" s="6" t="str">
        <f t="shared" si="10"/>
        <v>Three Bridges Primary School</v>
      </c>
      <c r="B61" s="49"/>
      <c r="C61" s="7">
        <v>3072181</v>
      </c>
      <c r="D61" s="6" t="s">
        <v>96</v>
      </c>
      <c r="E61" s="165">
        <v>2124234.02902439</v>
      </c>
      <c r="F61" s="165">
        <v>-7260</v>
      </c>
      <c r="G61" s="165">
        <v>-11884</v>
      </c>
      <c r="H61" s="166">
        <v>2105090.02902439</v>
      </c>
      <c r="I61" s="167">
        <v>0</v>
      </c>
      <c r="J61" s="168">
        <f t="shared" si="11"/>
        <v>2105090.02902439</v>
      </c>
      <c r="K61" s="169">
        <v>3072151</v>
      </c>
      <c r="L61" s="170">
        <v>124904.45630136991</v>
      </c>
      <c r="M61" s="170">
        <v>0</v>
      </c>
      <c r="N61" s="170">
        <v>0</v>
      </c>
      <c r="O61" s="170">
        <v>0</v>
      </c>
      <c r="P61" s="170">
        <v>179844.30000000002</v>
      </c>
      <c r="Q61" s="170">
        <v>19341</v>
      </c>
      <c r="R61" s="170">
        <v>45090</v>
      </c>
      <c r="S61" s="170">
        <v>0</v>
      </c>
      <c r="T61" s="170">
        <v>0</v>
      </c>
      <c r="U61" s="170">
        <v>0</v>
      </c>
      <c r="V61" s="170">
        <v>186955</v>
      </c>
      <c r="W61" s="170">
        <v>63947.366399999999</v>
      </c>
      <c r="X61" s="170">
        <v>8378</v>
      </c>
      <c r="Y61" s="170">
        <v>2964</v>
      </c>
      <c r="Z61" s="170">
        <v>0</v>
      </c>
      <c r="AA61" s="171">
        <f t="shared" si="12"/>
        <v>631424.12270136992</v>
      </c>
      <c r="AB61" s="169"/>
      <c r="AC61" s="171">
        <f t="shared" si="13"/>
        <v>2736514.1517257597</v>
      </c>
      <c r="AF61" s="95"/>
      <c r="AH61" s="28"/>
      <c r="AJ61" s="28"/>
    </row>
    <row r="62" spans="1:36" x14ac:dyDescent="0.25">
      <c r="A62" s="6" t="str">
        <f t="shared" si="10"/>
        <v>Montpelier Primary School</v>
      </c>
      <c r="B62" s="49"/>
      <c r="C62" s="7">
        <v>3072182</v>
      </c>
      <c r="D62" s="6" t="s">
        <v>97</v>
      </c>
      <c r="E62" s="165">
        <v>2862959.6380672175</v>
      </c>
      <c r="F62" s="165">
        <v>-11216.699999999999</v>
      </c>
      <c r="G62" s="165">
        <v>-18360.78</v>
      </c>
      <c r="H62" s="166">
        <v>2833382.1580672176</v>
      </c>
      <c r="I62" s="167">
        <v>0</v>
      </c>
      <c r="J62" s="168">
        <f t="shared" si="11"/>
        <v>2833382.1580672176</v>
      </c>
      <c r="K62" s="169">
        <v>3072000</v>
      </c>
      <c r="L62" s="170">
        <v>127782.00890410962</v>
      </c>
      <c r="M62" s="170">
        <v>0</v>
      </c>
      <c r="N62" s="170">
        <v>0</v>
      </c>
      <c r="O62" s="170">
        <v>1873.4</v>
      </c>
      <c r="P62" s="170">
        <v>149445.9</v>
      </c>
      <c r="Q62" s="170">
        <v>21366</v>
      </c>
      <c r="R62" s="170">
        <v>103518</v>
      </c>
      <c r="S62" s="170">
        <v>0</v>
      </c>
      <c r="T62" s="170">
        <v>0</v>
      </c>
      <c r="U62" s="170">
        <v>0</v>
      </c>
      <c r="V62" s="170">
        <v>136120.00000000003</v>
      </c>
      <c r="W62" s="170">
        <v>84366.192319999973</v>
      </c>
      <c r="X62" s="170">
        <v>8219</v>
      </c>
      <c r="Y62" s="170">
        <v>2909</v>
      </c>
      <c r="Z62" s="170">
        <v>0</v>
      </c>
      <c r="AA62" s="171">
        <f t="shared" si="12"/>
        <v>635599.50122410967</v>
      </c>
      <c r="AB62" s="169"/>
      <c r="AC62" s="171">
        <f t="shared" si="13"/>
        <v>3468981.659291327</v>
      </c>
      <c r="AF62" s="95"/>
      <c r="AH62" s="28"/>
      <c r="AJ62" s="28"/>
    </row>
    <row r="63" spans="1:36" x14ac:dyDescent="0.25">
      <c r="A63" s="6" t="str">
        <f t="shared" si="10"/>
        <v>Tudor Primary School</v>
      </c>
      <c r="B63" s="49"/>
      <c r="C63" s="7">
        <v>3072183</v>
      </c>
      <c r="D63" s="6" t="s">
        <v>98</v>
      </c>
      <c r="E63" s="165">
        <v>2064938.2469276297</v>
      </c>
      <c r="F63" s="165">
        <v>-7223.7</v>
      </c>
      <c r="G63" s="165">
        <v>-11824.58</v>
      </c>
      <c r="H63" s="166">
        <v>2045889.9669276297</v>
      </c>
      <c r="I63" s="167">
        <v>0</v>
      </c>
      <c r="J63" s="168">
        <f t="shared" si="11"/>
        <v>2045889.9669276297</v>
      </c>
      <c r="K63" s="169">
        <v>3072171</v>
      </c>
      <c r="L63" s="170">
        <v>109819.32972602744</v>
      </c>
      <c r="M63" s="170">
        <v>0</v>
      </c>
      <c r="N63" s="170">
        <v>0</v>
      </c>
      <c r="O63" s="170">
        <v>2497.85</v>
      </c>
      <c r="P63" s="170">
        <v>115981.34999999998</v>
      </c>
      <c r="Q63" s="170">
        <v>19509</v>
      </c>
      <c r="R63" s="170">
        <v>45220</v>
      </c>
      <c r="S63" s="170">
        <v>0</v>
      </c>
      <c r="T63" s="170">
        <v>0</v>
      </c>
      <c r="U63" s="170">
        <v>0</v>
      </c>
      <c r="V63" s="170">
        <v>138535</v>
      </c>
      <c r="W63" s="170">
        <v>60195.282240000008</v>
      </c>
      <c r="X63" s="170">
        <v>7745</v>
      </c>
      <c r="Y63" s="170">
        <v>2741</v>
      </c>
      <c r="Z63" s="170">
        <v>0</v>
      </c>
      <c r="AA63" s="171">
        <f t="shared" si="12"/>
        <v>502243.81196602742</v>
      </c>
      <c r="AB63" s="169"/>
      <c r="AC63" s="171">
        <f t="shared" si="13"/>
        <v>2548133.778893657</v>
      </c>
      <c r="AF63" s="95"/>
      <c r="AH63" s="28"/>
      <c r="AJ63" s="28"/>
    </row>
    <row r="64" spans="1:36" x14ac:dyDescent="0.25">
      <c r="A64" s="6" t="str">
        <f t="shared" si="10"/>
        <v>Vicar's Green Primary School</v>
      </c>
      <c r="B64" s="49"/>
      <c r="C64" s="7">
        <v>3072186</v>
      </c>
      <c r="D64" s="6" t="s">
        <v>99</v>
      </c>
      <c r="E64" s="165">
        <v>2074709.2292625364</v>
      </c>
      <c r="F64" s="165">
        <v>-7550.4000000000005</v>
      </c>
      <c r="G64" s="165">
        <v>-12359.36</v>
      </c>
      <c r="H64" s="166">
        <v>2054799.4692625364</v>
      </c>
      <c r="I64" s="167">
        <v>0</v>
      </c>
      <c r="J64" s="168">
        <f t="shared" si="11"/>
        <v>2054799.4692625364</v>
      </c>
      <c r="K64" s="169">
        <v>3077012</v>
      </c>
      <c r="L64" s="170">
        <v>23727.753424657538</v>
      </c>
      <c r="M64" s="170">
        <v>0</v>
      </c>
      <c r="N64" s="170">
        <v>0</v>
      </c>
      <c r="O64" s="170">
        <v>0</v>
      </c>
      <c r="P64" s="170">
        <v>26383.35</v>
      </c>
      <c r="Q64" s="170">
        <v>19550</v>
      </c>
      <c r="R64" s="170">
        <v>75009</v>
      </c>
      <c r="S64" s="170">
        <v>0</v>
      </c>
      <c r="T64" s="170">
        <v>0</v>
      </c>
      <c r="U64" s="170">
        <v>0</v>
      </c>
      <c r="V64" s="170">
        <v>93804.999999999985</v>
      </c>
      <c r="W64" s="170">
        <v>57752.465279999997</v>
      </c>
      <c r="X64" s="170">
        <v>5532</v>
      </c>
      <c r="Y64" s="170">
        <v>1958</v>
      </c>
      <c r="Z64" s="170">
        <v>0</v>
      </c>
      <c r="AA64" s="171">
        <f t="shared" si="12"/>
        <v>303717.56870465755</v>
      </c>
      <c r="AB64" s="169"/>
      <c r="AC64" s="171">
        <f t="shared" si="13"/>
        <v>2358517.0379671939</v>
      </c>
      <c r="AF64" s="95"/>
      <c r="AH64" s="28"/>
      <c r="AJ64" s="28"/>
    </row>
    <row r="65" spans="1:36" x14ac:dyDescent="0.25">
      <c r="A65" s="6" t="str">
        <f t="shared" si="10"/>
        <v>Grange Primary School</v>
      </c>
      <c r="B65" s="49"/>
      <c r="C65" s="7">
        <v>3072187</v>
      </c>
      <c r="D65" s="6" t="s">
        <v>100</v>
      </c>
      <c r="E65" s="165">
        <v>3424170.0839055502</v>
      </c>
      <c r="F65" s="165">
        <v>-12777.6</v>
      </c>
      <c r="G65" s="165">
        <v>-20915.84</v>
      </c>
      <c r="H65" s="166">
        <v>3390476.6439055502</v>
      </c>
      <c r="I65" s="167">
        <v>0</v>
      </c>
      <c r="J65" s="168">
        <f t="shared" si="11"/>
        <v>3390476.6439055502</v>
      </c>
      <c r="K65" s="169">
        <v>3072153</v>
      </c>
      <c r="L65" s="170">
        <v>212269.8582191781</v>
      </c>
      <c r="M65" s="170">
        <v>0</v>
      </c>
      <c r="N65" s="170">
        <v>0</v>
      </c>
      <c r="O65" s="170">
        <v>0</v>
      </c>
      <c r="P65" s="170">
        <v>201070.05</v>
      </c>
      <c r="Q65" s="170">
        <v>22051</v>
      </c>
      <c r="R65" s="170">
        <v>109465</v>
      </c>
      <c r="S65" s="170">
        <v>0</v>
      </c>
      <c r="T65" s="170">
        <v>0</v>
      </c>
      <c r="U65" s="170">
        <v>0</v>
      </c>
      <c r="V65" s="170">
        <v>241340</v>
      </c>
      <c r="W65" s="170">
        <v>102127.43552</v>
      </c>
      <c r="X65" s="170">
        <v>11539</v>
      </c>
      <c r="Y65" s="170">
        <v>4084</v>
      </c>
      <c r="Z65" s="170">
        <v>0</v>
      </c>
      <c r="AA65" s="171">
        <f t="shared" si="12"/>
        <v>903946.34373917803</v>
      </c>
      <c r="AB65" s="169"/>
      <c r="AC65" s="171">
        <f t="shared" si="13"/>
        <v>4294422.9876447283</v>
      </c>
      <c r="AF65" s="95"/>
      <c r="AH65" s="28"/>
      <c r="AJ65" s="28"/>
    </row>
    <row r="66" spans="1:36" x14ac:dyDescent="0.25">
      <c r="A66" s="6" t="str">
        <f t="shared" si="10"/>
        <v>Mount Carmel Catholic Primary School</v>
      </c>
      <c r="B66" s="49"/>
      <c r="C66" s="7">
        <v>3073500</v>
      </c>
      <c r="D66" s="6" t="s">
        <v>101</v>
      </c>
      <c r="E66" s="165">
        <v>1795725.0693252592</v>
      </c>
      <c r="F66" s="165">
        <v>-6987.75</v>
      </c>
      <c r="G66" s="165">
        <v>-11438.35</v>
      </c>
      <c r="H66" s="166">
        <v>1777298.9693252591</v>
      </c>
      <c r="I66" s="167">
        <v>0</v>
      </c>
      <c r="J66" s="168">
        <f t="shared" si="11"/>
        <v>1777298.9693252591</v>
      </c>
      <c r="K66" s="169">
        <v>3072173</v>
      </c>
      <c r="L66" s="170">
        <v>48666.676575342448</v>
      </c>
      <c r="M66" s="170">
        <v>0</v>
      </c>
      <c r="N66" s="170">
        <v>0</v>
      </c>
      <c r="O66" s="170">
        <v>0</v>
      </c>
      <c r="P66" s="170">
        <v>95062.35</v>
      </c>
      <c r="Q66" s="170">
        <v>19331</v>
      </c>
      <c r="R66" s="170">
        <v>60874</v>
      </c>
      <c r="S66" s="170">
        <v>0</v>
      </c>
      <c r="T66" s="170">
        <v>0</v>
      </c>
      <c r="U66" s="170">
        <v>0</v>
      </c>
      <c r="V66" s="170">
        <v>41005</v>
      </c>
      <c r="W66" s="170">
        <v>51209.574719999997</v>
      </c>
      <c r="X66" s="170">
        <v>5058</v>
      </c>
      <c r="Y66" s="170">
        <v>1790</v>
      </c>
      <c r="Z66" s="170">
        <v>0</v>
      </c>
      <c r="AA66" s="171">
        <f t="shared" si="12"/>
        <v>322996.60129534244</v>
      </c>
      <c r="AB66" s="169"/>
      <c r="AC66" s="171">
        <f t="shared" si="13"/>
        <v>2100295.5706206015</v>
      </c>
      <c r="AF66" s="95"/>
      <c r="AH66" s="28"/>
      <c r="AJ66" s="28"/>
    </row>
    <row r="67" spans="1:36" x14ac:dyDescent="0.25">
      <c r="A67" s="6" t="str">
        <f t="shared" si="10"/>
        <v>Our Lady of the Visitation Catholic Primary School</v>
      </c>
      <c r="B67" s="49"/>
      <c r="C67" s="7">
        <v>3073503</v>
      </c>
      <c r="D67" s="6" t="s">
        <v>102</v>
      </c>
      <c r="E67" s="165">
        <v>2034661.304237322</v>
      </c>
      <c r="F67" s="165">
        <v>-7514.1</v>
      </c>
      <c r="G67" s="165">
        <v>-12299.94</v>
      </c>
      <c r="H67" s="166">
        <v>2014847.2642373219</v>
      </c>
      <c r="I67" s="167">
        <v>0</v>
      </c>
      <c r="J67" s="168">
        <f t="shared" si="11"/>
        <v>2014847.2642373219</v>
      </c>
      <c r="K67" s="169">
        <v>3072174</v>
      </c>
      <c r="L67" s="170">
        <v>86913.054520547958</v>
      </c>
      <c r="M67" s="170">
        <v>0</v>
      </c>
      <c r="N67" s="170">
        <v>0</v>
      </c>
      <c r="O67" s="170">
        <v>0</v>
      </c>
      <c r="P67" s="170">
        <v>103134.59999999999</v>
      </c>
      <c r="Q67" s="170">
        <v>19560</v>
      </c>
      <c r="R67" s="170">
        <v>50944</v>
      </c>
      <c r="S67" s="170">
        <v>0</v>
      </c>
      <c r="T67" s="170">
        <v>0</v>
      </c>
      <c r="U67" s="170">
        <v>0</v>
      </c>
      <c r="V67" s="170">
        <v>110944.99999999997</v>
      </c>
      <c r="W67" s="170">
        <v>59985.110400000005</v>
      </c>
      <c r="X67" s="170">
        <v>6322</v>
      </c>
      <c r="Y67" s="170">
        <v>2237</v>
      </c>
      <c r="Z67" s="170">
        <v>0</v>
      </c>
      <c r="AA67" s="171">
        <f t="shared" si="12"/>
        <v>440040.76492054795</v>
      </c>
      <c r="AB67" s="169"/>
      <c r="AC67" s="171">
        <f t="shared" si="13"/>
        <v>2454888.02915787</v>
      </c>
      <c r="AF67" s="95"/>
      <c r="AH67" s="28"/>
      <c r="AJ67" s="28"/>
    </row>
    <row r="68" spans="1:36" x14ac:dyDescent="0.25">
      <c r="A68" s="6" t="str">
        <f t="shared" si="10"/>
        <v>St John Fisher Catholic Primary School</v>
      </c>
      <c r="B68" s="49"/>
      <c r="C68" s="7">
        <v>3073504</v>
      </c>
      <c r="D68" s="6" t="s">
        <v>103</v>
      </c>
      <c r="E68" s="165">
        <v>1714835.1899050849</v>
      </c>
      <c r="F68" s="165">
        <v>-6316.2</v>
      </c>
      <c r="G68" s="165">
        <v>-10339.08</v>
      </c>
      <c r="H68" s="166">
        <v>1698179.9099050849</v>
      </c>
      <c r="I68" s="167">
        <v>0</v>
      </c>
      <c r="J68" s="168">
        <f t="shared" si="11"/>
        <v>1698179.9099050849</v>
      </c>
      <c r="K68" s="169">
        <v>3077010</v>
      </c>
      <c r="L68" s="170">
        <v>114749.15342465755</v>
      </c>
      <c r="M68" s="170">
        <v>0</v>
      </c>
      <c r="N68" s="170">
        <v>0</v>
      </c>
      <c r="O68" s="170">
        <v>0</v>
      </c>
      <c r="P68" s="170">
        <v>119303.85</v>
      </c>
      <c r="Q68" s="170">
        <v>19154</v>
      </c>
      <c r="R68" s="170">
        <v>55982</v>
      </c>
      <c r="S68" s="170">
        <v>0</v>
      </c>
      <c r="T68" s="170">
        <v>0</v>
      </c>
      <c r="U68" s="170">
        <v>0</v>
      </c>
      <c r="V68" s="170">
        <v>41694.999999999993</v>
      </c>
      <c r="W68" s="170">
        <v>46957.901759999993</v>
      </c>
      <c r="X68" s="170">
        <v>5532</v>
      </c>
      <c r="Y68" s="170">
        <v>1958</v>
      </c>
      <c r="Z68" s="170">
        <v>0</v>
      </c>
      <c r="AA68" s="171">
        <f t="shared" si="12"/>
        <v>405331.90518465755</v>
      </c>
      <c r="AB68" s="169"/>
      <c r="AC68" s="171">
        <f t="shared" si="13"/>
        <v>2103511.8150897427</v>
      </c>
      <c r="AF68" s="95"/>
      <c r="AH68" s="28"/>
      <c r="AJ68" s="28"/>
    </row>
    <row r="69" spans="1:36" x14ac:dyDescent="0.25">
      <c r="A69" s="6" t="str">
        <f t="shared" si="10"/>
        <v>St Anselm's Catholic Primary School</v>
      </c>
      <c r="B69" s="49"/>
      <c r="C69" s="7">
        <v>3073505</v>
      </c>
      <c r="D69" s="6" t="s">
        <v>104</v>
      </c>
      <c r="E69" s="165">
        <v>1122435.3499933032</v>
      </c>
      <c r="F69" s="165">
        <v>-3775.2000000000003</v>
      </c>
      <c r="G69" s="165">
        <v>-6179.68</v>
      </c>
      <c r="H69" s="166">
        <v>1112480.4699933033</v>
      </c>
      <c r="I69" s="167">
        <v>0</v>
      </c>
      <c r="J69" s="168">
        <f t="shared" si="11"/>
        <v>1112480.4699933033</v>
      </c>
      <c r="K69" s="169">
        <v>3071000</v>
      </c>
      <c r="L69" s="170">
        <v>8962</v>
      </c>
      <c r="M69" s="170">
        <v>0</v>
      </c>
      <c r="N69" s="170">
        <v>0</v>
      </c>
      <c r="O69" s="170">
        <v>0</v>
      </c>
      <c r="P69" s="170">
        <v>114688.5</v>
      </c>
      <c r="Q69" s="170">
        <v>17795</v>
      </c>
      <c r="R69" s="170">
        <v>23954</v>
      </c>
      <c r="S69" s="170">
        <v>0</v>
      </c>
      <c r="T69" s="170">
        <v>0</v>
      </c>
      <c r="U69" s="170">
        <v>0</v>
      </c>
      <c r="V69" s="170">
        <v>61870</v>
      </c>
      <c r="W69" s="170">
        <v>34009.938240000003</v>
      </c>
      <c r="X69" s="170">
        <v>5690</v>
      </c>
      <c r="Y69" s="170">
        <v>2014</v>
      </c>
      <c r="Z69" s="170">
        <v>0</v>
      </c>
      <c r="AA69" s="171">
        <f t="shared" si="12"/>
        <v>268983.43823999999</v>
      </c>
      <c r="AB69" s="169"/>
      <c r="AC69" s="171">
        <f t="shared" si="13"/>
        <v>1381463.9082333033</v>
      </c>
      <c r="AF69" s="95"/>
      <c r="AH69" s="28"/>
      <c r="AJ69" s="28"/>
    </row>
    <row r="70" spans="1:36" x14ac:dyDescent="0.25">
      <c r="A70" s="6" t="str">
        <f t="shared" ref="A70:A90" si="14">D70</f>
        <v>St Gregory's Catholic Primary School</v>
      </c>
      <c r="B70" s="49"/>
      <c r="C70" s="7">
        <v>3073506</v>
      </c>
      <c r="D70" s="6" t="s">
        <v>105</v>
      </c>
      <c r="E70" s="165">
        <v>1669083.0108959854</v>
      </c>
      <c r="F70" s="165">
        <v>-6279.9</v>
      </c>
      <c r="G70" s="165">
        <v>-10279.66</v>
      </c>
      <c r="H70" s="166">
        <v>1652523.4508959854</v>
      </c>
      <c r="I70" s="167">
        <v>0</v>
      </c>
      <c r="J70" s="168">
        <f t="shared" ref="J70:J90" si="15">SUM(H70:I70)</f>
        <v>1652523.4508959854</v>
      </c>
      <c r="K70" s="169">
        <v>3072076</v>
      </c>
      <c r="L70" s="170">
        <v>76724.056438356201</v>
      </c>
      <c r="M70" s="170">
        <v>0</v>
      </c>
      <c r="N70" s="170">
        <v>0</v>
      </c>
      <c r="O70" s="170">
        <v>1873.4</v>
      </c>
      <c r="P70" s="170">
        <v>51157.350000000006</v>
      </c>
      <c r="Q70" s="170">
        <v>20172</v>
      </c>
      <c r="R70" s="170">
        <v>30808</v>
      </c>
      <c r="S70" s="170">
        <v>0</v>
      </c>
      <c r="T70" s="170">
        <v>0</v>
      </c>
      <c r="U70" s="170">
        <v>0</v>
      </c>
      <c r="V70" s="170">
        <v>92805</v>
      </c>
      <c r="W70" s="170">
        <v>50211.545599999998</v>
      </c>
      <c r="X70" s="170">
        <v>2529</v>
      </c>
      <c r="Y70" s="170">
        <v>895</v>
      </c>
      <c r="Z70" s="170">
        <v>0</v>
      </c>
      <c r="AA70" s="171">
        <f t="shared" ref="AA70:AA90" si="16">SUM(L70:Z70)</f>
        <v>327175.35203835618</v>
      </c>
      <c r="AB70" s="169"/>
      <c r="AC70" s="171">
        <f t="shared" ref="AC70:AC90" si="17">AA70+J70</f>
        <v>1979698.8029343416</v>
      </c>
      <c r="AF70" s="95"/>
      <c r="AH70" s="28"/>
      <c r="AJ70" s="28"/>
    </row>
    <row r="71" spans="1:36" x14ac:dyDescent="0.25">
      <c r="A71" s="6" t="str">
        <f t="shared" si="14"/>
        <v>St Joseph's Catholic Primary School</v>
      </c>
      <c r="B71" s="49"/>
      <c r="C71" s="7">
        <v>3073507</v>
      </c>
      <c r="D71" s="6" t="s">
        <v>106</v>
      </c>
      <c r="E71" s="165">
        <v>2720900.150636436</v>
      </c>
      <c r="F71" s="165">
        <v>-10654.049999999997</v>
      </c>
      <c r="G71" s="165">
        <v>-17439.77</v>
      </c>
      <c r="H71" s="166">
        <v>2692806.3306364361</v>
      </c>
      <c r="I71" s="167">
        <v>0</v>
      </c>
      <c r="J71" s="168">
        <f t="shared" si="15"/>
        <v>2692806.3306364361</v>
      </c>
      <c r="K71" s="169">
        <v>3072182</v>
      </c>
      <c r="L71" s="170">
        <v>150555.63273972605</v>
      </c>
      <c r="M71" s="170">
        <v>0</v>
      </c>
      <c r="N71" s="170">
        <v>0</v>
      </c>
      <c r="O71" s="170">
        <v>7493.6</v>
      </c>
      <c r="P71" s="170">
        <v>132389.4</v>
      </c>
      <c r="Q71" s="170">
        <v>21080</v>
      </c>
      <c r="R71" s="170">
        <v>95274</v>
      </c>
      <c r="S71" s="170">
        <v>0</v>
      </c>
      <c r="T71" s="170">
        <v>0</v>
      </c>
      <c r="U71" s="170">
        <v>0</v>
      </c>
      <c r="V71" s="170">
        <v>59292.080000000016</v>
      </c>
      <c r="W71" s="170">
        <v>77292.703999999998</v>
      </c>
      <c r="X71" s="170">
        <v>7587</v>
      </c>
      <c r="Y71" s="170">
        <v>2685</v>
      </c>
      <c r="Z71" s="170">
        <v>0</v>
      </c>
      <c r="AA71" s="171">
        <f t="shared" si="16"/>
        <v>553649.41673972609</v>
      </c>
      <c r="AB71" s="169"/>
      <c r="AC71" s="171">
        <f t="shared" si="17"/>
        <v>3246455.7473761621</v>
      </c>
      <c r="AF71" s="95"/>
      <c r="AH71" s="28"/>
      <c r="AJ71" s="28"/>
    </row>
    <row r="72" spans="1:36" x14ac:dyDescent="0.25">
      <c r="A72" s="6" t="str">
        <f t="shared" si="14"/>
        <v>St Raphael's Catholic Primary School</v>
      </c>
      <c r="B72" s="49"/>
      <c r="C72" s="7">
        <v>3073508</v>
      </c>
      <c r="D72" s="6" t="s">
        <v>107</v>
      </c>
      <c r="E72" s="165">
        <v>2385387.0274923509</v>
      </c>
      <c r="F72" s="165">
        <v>-9056.85</v>
      </c>
      <c r="G72" s="165">
        <v>-14825.29</v>
      </c>
      <c r="H72" s="166">
        <v>2361504.8874923508</v>
      </c>
      <c r="I72" s="167">
        <v>0</v>
      </c>
      <c r="J72" s="168">
        <f t="shared" si="15"/>
        <v>2361504.8874923508</v>
      </c>
      <c r="K72" s="169">
        <v>3073500</v>
      </c>
      <c r="L72" s="170">
        <v>95548.531506849293</v>
      </c>
      <c r="M72" s="170">
        <v>0</v>
      </c>
      <c r="N72" s="170">
        <v>0</v>
      </c>
      <c r="O72" s="170">
        <v>2891.7</v>
      </c>
      <c r="P72" s="170">
        <v>86687.549999999988</v>
      </c>
      <c r="Q72" s="170">
        <v>20751</v>
      </c>
      <c r="R72" s="170">
        <v>78657</v>
      </c>
      <c r="S72" s="170">
        <v>0</v>
      </c>
      <c r="T72" s="170">
        <v>0</v>
      </c>
      <c r="U72" s="170">
        <v>0</v>
      </c>
      <c r="V72" s="170">
        <v>93805.000000000015</v>
      </c>
      <c r="W72" s="170">
        <v>67826.931840000005</v>
      </c>
      <c r="X72" s="170">
        <v>5848</v>
      </c>
      <c r="Y72" s="170">
        <v>2069</v>
      </c>
      <c r="Z72" s="170">
        <v>0</v>
      </c>
      <c r="AA72" s="171">
        <f t="shared" si="16"/>
        <v>454084.71334684931</v>
      </c>
      <c r="AB72" s="169"/>
      <c r="AC72" s="171">
        <f t="shared" si="17"/>
        <v>2815589.6008392</v>
      </c>
      <c r="AF72" s="95"/>
      <c r="AH72" s="28"/>
      <c r="AJ72" s="28"/>
    </row>
    <row r="73" spans="1:36" x14ac:dyDescent="0.25">
      <c r="A73" s="6" t="str">
        <f t="shared" si="14"/>
        <v>St Vincent's Catholic Primary School</v>
      </c>
      <c r="B73" s="49"/>
      <c r="C73" s="7">
        <v>3073509</v>
      </c>
      <c r="D73" s="6" t="s">
        <v>108</v>
      </c>
      <c r="E73" s="165">
        <v>2127290.589213483</v>
      </c>
      <c r="F73" s="165">
        <v>-7550.4000000000005</v>
      </c>
      <c r="G73" s="165">
        <v>-12359.36</v>
      </c>
      <c r="H73" s="166">
        <v>2107380.8292134833</v>
      </c>
      <c r="I73" s="167">
        <v>0</v>
      </c>
      <c r="J73" s="168">
        <f t="shared" si="15"/>
        <v>2107380.8292134833</v>
      </c>
      <c r="K73" s="169">
        <v>3073512</v>
      </c>
      <c r="L73" s="170">
        <v>216518.64657534251</v>
      </c>
      <c r="M73" s="170">
        <v>0</v>
      </c>
      <c r="N73" s="170">
        <v>0</v>
      </c>
      <c r="O73" s="170">
        <v>0</v>
      </c>
      <c r="P73" s="170">
        <v>133937.85</v>
      </c>
      <c r="Q73" s="170">
        <v>19558</v>
      </c>
      <c r="R73" s="170">
        <v>55853</v>
      </c>
      <c r="S73" s="170">
        <v>0</v>
      </c>
      <c r="T73" s="170">
        <v>0</v>
      </c>
      <c r="U73" s="170">
        <v>0</v>
      </c>
      <c r="V73" s="170">
        <v>133465</v>
      </c>
      <c r="W73" s="170">
        <v>61717.01823999999</v>
      </c>
      <c r="X73" s="170">
        <v>5216</v>
      </c>
      <c r="Y73" s="170">
        <v>1846</v>
      </c>
      <c r="Z73" s="170">
        <v>0</v>
      </c>
      <c r="AA73" s="171">
        <f t="shared" si="16"/>
        <v>628111.5148153425</v>
      </c>
      <c r="AB73" s="169"/>
      <c r="AC73" s="171">
        <f t="shared" si="17"/>
        <v>2735492.3440288259</v>
      </c>
      <c r="AF73" s="95"/>
      <c r="AH73" s="28"/>
      <c r="AJ73" s="28"/>
    </row>
    <row r="74" spans="1:36" x14ac:dyDescent="0.25">
      <c r="A74" s="6" t="str">
        <f t="shared" si="14"/>
        <v>Edward Betham Church of England Primary School</v>
      </c>
      <c r="B74" s="49"/>
      <c r="C74" s="7">
        <v>3073510</v>
      </c>
      <c r="D74" s="6" t="s">
        <v>109</v>
      </c>
      <c r="E74" s="165">
        <v>1947752.2374907902</v>
      </c>
      <c r="F74" s="165">
        <v>-7260</v>
      </c>
      <c r="G74" s="165">
        <v>-11884</v>
      </c>
      <c r="H74" s="166">
        <v>1928608.2374907902</v>
      </c>
      <c r="I74" s="167">
        <v>0</v>
      </c>
      <c r="J74" s="168">
        <f t="shared" si="15"/>
        <v>1928608.2374907902</v>
      </c>
      <c r="K74" s="169">
        <v>3072046</v>
      </c>
      <c r="L74" s="170">
        <v>83543.035616438341</v>
      </c>
      <c r="M74" s="170">
        <v>0</v>
      </c>
      <c r="N74" s="170">
        <v>0</v>
      </c>
      <c r="O74" s="170">
        <v>1873.4</v>
      </c>
      <c r="P74" s="170">
        <v>125678.3</v>
      </c>
      <c r="Q74" s="170">
        <v>19590</v>
      </c>
      <c r="R74" s="170">
        <v>56891</v>
      </c>
      <c r="S74" s="170">
        <v>0</v>
      </c>
      <c r="T74" s="170">
        <v>0</v>
      </c>
      <c r="U74" s="170">
        <v>0</v>
      </c>
      <c r="V74" s="170">
        <v>69214.999999999985</v>
      </c>
      <c r="W74" s="170">
        <v>55011.043519999999</v>
      </c>
      <c r="X74" s="170">
        <v>4900</v>
      </c>
      <c r="Y74" s="170">
        <v>1735</v>
      </c>
      <c r="Z74" s="170">
        <v>0</v>
      </c>
      <c r="AA74" s="171">
        <f t="shared" si="16"/>
        <v>418436.77913643833</v>
      </c>
      <c r="AB74" s="169"/>
      <c r="AC74" s="171">
        <f t="shared" si="17"/>
        <v>2347045.0166272284</v>
      </c>
      <c r="AF74" s="95"/>
      <c r="AH74" s="28"/>
      <c r="AJ74" s="28"/>
    </row>
    <row r="75" spans="1:36" x14ac:dyDescent="0.25">
      <c r="A75" s="6" t="str">
        <f t="shared" si="14"/>
        <v>Petts Hill Primary School</v>
      </c>
      <c r="B75" s="49"/>
      <c r="C75" s="7">
        <v>3073511</v>
      </c>
      <c r="D75" s="6" t="s">
        <v>110</v>
      </c>
      <c r="E75" s="165">
        <v>1251175.1283615818</v>
      </c>
      <c r="F75" s="165">
        <v>-3757.05</v>
      </c>
      <c r="G75" s="165">
        <v>-6149.97</v>
      </c>
      <c r="H75" s="166">
        <v>1241268.1083615818</v>
      </c>
      <c r="I75" s="167">
        <v>0</v>
      </c>
      <c r="J75" s="168">
        <f t="shared" si="15"/>
        <v>1241268.1083615818</v>
      </c>
      <c r="K75" s="169">
        <v>3072115</v>
      </c>
      <c r="L75" s="170">
        <v>65016.448630136998</v>
      </c>
      <c r="M75" s="170">
        <v>0</v>
      </c>
      <c r="N75" s="170">
        <v>0</v>
      </c>
      <c r="O75" s="170">
        <v>0</v>
      </c>
      <c r="P75" s="170">
        <v>121680.15</v>
      </c>
      <c r="Q75" s="170">
        <v>17761</v>
      </c>
      <c r="R75" s="170">
        <v>23879</v>
      </c>
      <c r="S75" s="170">
        <v>0</v>
      </c>
      <c r="T75" s="170">
        <v>0</v>
      </c>
      <c r="U75" s="170">
        <v>0</v>
      </c>
      <c r="V75" s="170">
        <v>116325.00000000001</v>
      </c>
      <c r="W75" s="170">
        <v>36937.413760000003</v>
      </c>
      <c r="X75" s="170">
        <v>6322</v>
      </c>
      <c r="Y75" s="170">
        <v>2237</v>
      </c>
      <c r="Z75" s="170">
        <v>0</v>
      </c>
      <c r="AA75" s="171">
        <f t="shared" si="16"/>
        <v>390158.01239013701</v>
      </c>
      <c r="AB75" s="169"/>
      <c r="AC75" s="171">
        <f t="shared" si="17"/>
        <v>1631426.1207517188</v>
      </c>
      <c r="AF75" s="95"/>
      <c r="AH75" s="28"/>
      <c r="AJ75" s="28"/>
    </row>
    <row r="76" spans="1:36" x14ac:dyDescent="0.25">
      <c r="A76" s="6" t="str">
        <f t="shared" si="14"/>
        <v>Khalsa Primary School</v>
      </c>
      <c r="B76" s="49"/>
      <c r="C76" s="7">
        <v>3073512</v>
      </c>
      <c r="D76" s="6" t="s">
        <v>111</v>
      </c>
      <c r="E76" s="165">
        <v>2009063.20783997</v>
      </c>
      <c r="F76" s="165">
        <v>-7096.65</v>
      </c>
      <c r="G76" s="165">
        <v>-11616.61</v>
      </c>
      <c r="H76" s="166">
        <v>1990349.94783997</v>
      </c>
      <c r="I76" s="167">
        <v>0</v>
      </c>
      <c r="J76" s="168">
        <f t="shared" si="15"/>
        <v>1990349.94783997</v>
      </c>
      <c r="K76" s="169">
        <v>3075404</v>
      </c>
      <c r="L76" s="170">
        <v>33761.30958904107</v>
      </c>
      <c r="M76" s="170">
        <v>0</v>
      </c>
      <c r="N76" s="170">
        <v>0</v>
      </c>
      <c r="O76" s="170">
        <v>0</v>
      </c>
      <c r="P76" s="170">
        <v>138981.9</v>
      </c>
      <c r="Q76" s="170">
        <v>19446</v>
      </c>
      <c r="R76" s="170">
        <v>50963</v>
      </c>
      <c r="S76" s="170">
        <v>0</v>
      </c>
      <c r="T76" s="170">
        <v>0</v>
      </c>
      <c r="U76" s="170">
        <v>0</v>
      </c>
      <c r="V76" s="170">
        <v>118360.00000000001</v>
      </c>
      <c r="W76" s="170">
        <v>59220.222719999998</v>
      </c>
      <c r="X76" s="170">
        <v>7587</v>
      </c>
      <c r="Y76" s="170">
        <v>2685</v>
      </c>
      <c r="Z76" s="170">
        <v>0</v>
      </c>
      <c r="AA76" s="171">
        <f t="shared" si="16"/>
        <v>431004.43230904109</v>
      </c>
      <c r="AB76" s="169"/>
      <c r="AC76" s="171">
        <f t="shared" si="17"/>
        <v>2421354.380149011</v>
      </c>
      <c r="AF76" s="95"/>
      <c r="AH76" s="28"/>
      <c r="AJ76" s="28"/>
    </row>
    <row r="77" spans="1:36" x14ac:dyDescent="0.25">
      <c r="A77" s="6" t="str">
        <f t="shared" si="14"/>
        <v>Christ the Saviour Church of England Primary School</v>
      </c>
      <c r="B77" s="49"/>
      <c r="C77" s="7">
        <v>3073513</v>
      </c>
      <c r="D77" s="6" t="s">
        <v>112</v>
      </c>
      <c r="E77" s="165">
        <v>3934289.3063157895</v>
      </c>
      <c r="F77" s="165">
        <v>-15245.999999999998</v>
      </c>
      <c r="G77" s="165">
        <v>-24956.400000000001</v>
      </c>
      <c r="H77" s="166">
        <v>3894086.9063157896</v>
      </c>
      <c r="I77" s="167">
        <v>0</v>
      </c>
      <c r="J77" s="168">
        <f t="shared" si="15"/>
        <v>3894086.9063157896</v>
      </c>
      <c r="K77" s="169">
        <v>3072175</v>
      </c>
      <c r="L77" s="170">
        <v>205206.27123287661</v>
      </c>
      <c r="M77" s="170">
        <v>0</v>
      </c>
      <c r="N77" s="170">
        <v>0</v>
      </c>
      <c r="O77" s="170">
        <v>10303.700000000001</v>
      </c>
      <c r="P77" s="170">
        <v>175546.2</v>
      </c>
      <c r="Q77" s="170">
        <v>23184</v>
      </c>
      <c r="R77" s="170">
        <v>135121</v>
      </c>
      <c r="S77" s="170">
        <v>0</v>
      </c>
      <c r="T77" s="170">
        <v>0</v>
      </c>
      <c r="U77" s="170">
        <v>0</v>
      </c>
      <c r="V77" s="170">
        <v>210750.00000000003</v>
      </c>
      <c r="W77" s="170">
        <v>114867.52416</v>
      </c>
      <c r="X77" s="170">
        <v>9484</v>
      </c>
      <c r="Y77" s="170">
        <v>3357</v>
      </c>
      <c r="Z77" s="170">
        <v>0</v>
      </c>
      <c r="AA77" s="171">
        <f t="shared" si="16"/>
        <v>887819.69539287663</v>
      </c>
      <c r="AB77" s="169"/>
      <c r="AC77" s="171">
        <f t="shared" si="17"/>
        <v>4781906.6017086664</v>
      </c>
      <c r="AF77" s="95"/>
      <c r="AH77" s="28"/>
      <c r="AJ77" s="28"/>
    </row>
    <row r="78" spans="1:36" x14ac:dyDescent="0.25">
      <c r="A78" s="6" t="str">
        <f t="shared" si="14"/>
        <v>Villiers High School</v>
      </c>
      <c r="B78" s="49"/>
      <c r="C78" s="7">
        <v>3074020</v>
      </c>
      <c r="D78" s="6" t="s">
        <v>113</v>
      </c>
      <c r="E78" s="165">
        <v>9203861.2762122229</v>
      </c>
      <c r="F78" s="165">
        <v>-10887.5</v>
      </c>
      <c r="G78" s="165">
        <v>-37137.5</v>
      </c>
      <c r="H78" s="166">
        <v>9155836.2762122229</v>
      </c>
      <c r="I78" s="167">
        <v>0</v>
      </c>
      <c r="J78" s="168">
        <f t="shared" si="15"/>
        <v>9155836.2762122229</v>
      </c>
      <c r="K78" s="169">
        <v>3073503</v>
      </c>
      <c r="L78" s="170">
        <v>125032.51205479456</v>
      </c>
      <c r="M78" s="170">
        <v>0</v>
      </c>
      <c r="N78" s="170">
        <v>0</v>
      </c>
      <c r="O78" s="170">
        <v>0</v>
      </c>
      <c r="P78" s="170">
        <v>0</v>
      </c>
      <c r="Q78" s="170">
        <v>0</v>
      </c>
      <c r="R78" s="170">
        <v>0</v>
      </c>
      <c r="S78" s="170">
        <v>1196387.6666666667</v>
      </c>
      <c r="T78" s="170">
        <v>21574.333333333336</v>
      </c>
      <c r="U78" s="170">
        <v>11800</v>
      </c>
      <c r="V78" s="170">
        <v>336160.00000000006</v>
      </c>
      <c r="W78" s="170">
        <v>275893.60800000001</v>
      </c>
      <c r="X78" s="170">
        <v>50099</v>
      </c>
      <c r="Y78" s="170">
        <v>17731</v>
      </c>
      <c r="Z78" s="170">
        <v>0</v>
      </c>
      <c r="AA78" s="171">
        <f t="shared" si="16"/>
        <v>2034678.1200547945</v>
      </c>
      <c r="AB78" s="169"/>
      <c r="AC78" s="171">
        <f t="shared" si="17"/>
        <v>11190514.396267017</v>
      </c>
      <c r="AF78" s="95"/>
      <c r="AH78" s="28"/>
      <c r="AJ78" s="28"/>
    </row>
    <row r="79" spans="1:36" x14ac:dyDescent="0.25">
      <c r="A79" s="6" t="str">
        <f t="shared" si="14"/>
        <v>Elthorne Park High School</v>
      </c>
      <c r="B79" s="49"/>
      <c r="C79" s="7">
        <v>3074036</v>
      </c>
      <c r="D79" s="6" t="s">
        <v>114</v>
      </c>
      <c r="E79" s="165">
        <v>7722592.1669296389</v>
      </c>
      <c r="F79" s="165">
        <v>-10704.589999999998</v>
      </c>
      <c r="G79" s="165">
        <v>-36513.589999999997</v>
      </c>
      <c r="H79" s="166">
        <v>7675373.9869296392</v>
      </c>
      <c r="I79" s="167">
        <v>162000</v>
      </c>
      <c r="J79" s="168">
        <f t="shared" si="15"/>
        <v>7837373.9869296392</v>
      </c>
      <c r="K79" s="169">
        <v>3072176</v>
      </c>
      <c r="L79" s="170">
        <v>375717.789041096</v>
      </c>
      <c r="M79" s="170">
        <v>0</v>
      </c>
      <c r="N79" s="170">
        <v>161685</v>
      </c>
      <c r="O79" s="170">
        <v>0</v>
      </c>
      <c r="P79" s="170">
        <v>0</v>
      </c>
      <c r="Q79" s="170">
        <v>0</v>
      </c>
      <c r="R79" s="170">
        <v>0</v>
      </c>
      <c r="S79" s="170">
        <v>1508502.6666666667</v>
      </c>
      <c r="T79" s="170">
        <v>15094</v>
      </c>
      <c r="U79" s="170">
        <v>23800</v>
      </c>
      <c r="V79" s="170">
        <v>235025</v>
      </c>
      <c r="W79" s="170">
        <v>252187.83231999996</v>
      </c>
      <c r="X79" s="170">
        <v>70438</v>
      </c>
      <c r="Y79" s="170">
        <v>24930</v>
      </c>
      <c r="Z79" s="170">
        <v>0</v>
      </c>
      <c r="AA79" s="171">
        <f t="shared" si="16"/>
        <v>2667380.2880277629</v>
      </c>
      <c r="AB79" s="169"/>
      <c r="AC79" s="171">
        <f t="shared" si="17"/>
        <v>10504754.274957402</v>
      </c>
      <c r="AF79" s="95"/>
      <c r="AH79" s="28"/>
      <c r="AJ79" s="28"/>
    </row>
    <row r="80" spans="1:36" x14ac:dyDescent="0.25">
      <c r="A80" s="6" t="str">
        <f t="shared" si="14"/>
        <v>The Cardinal Wiseman Catholic School</v>
      </c>
      <c r="B80" s="49"/>
      <c r="C80" s="7">
        <v>3074603</v>
      </c>
      <c r="D80" s="6" t="s">
        <v>115</v>
      </c>
      <c r="E80" s="165">
        <v>9608817.5735451188</v>
      </c>
      <c r="F80" s="165">
        <v>-13265.33</v>
      </c>
      <c r="G80" s="165">
        <v>-45248.33</v>
      </c>
      <c r="H80" s="166">
        <v>9550303.9135451186</v>
      </c>
      <c r="I80" s="167">
        <v>0</v>
      </c>
      <c r="J80" s="168">
        <f t="shared" si="15"/>
        <v>9550303.9135451186</v>
      </c>
      <c r="K80" s="169">
        <v>3073511</v>
      </c>
      <c r="L80" s="170">
        <v>318541.82958904101</v>
      </c>
      <c r="M80" s="170">
        <v>0</v>
      </c>
      <c r="N80" s="170">
        <v>0</v>
      </c>
      <c r="O80" s="170">
        <v>0</v>
      </c>
      <c r="P80" s="170">
        <v>0</v>
      </c>
      <c r="Q80" s="170">
        <v>0</v>
      </c>
      <c r="R80" s="170">
        <v>0</v>
      </c>
      <c r="S80" s="170">
        <v>2178853.666666667</v>
      </c>
      <c r="T80" s="170">
        <v>26421</v>
      </c>
      <c r="U80" s="170">
        <v>34800</v>
      </c>
      <c r="V80" s="170">
        <v>202639.99999999997</v>
      </c>
      <c r="W80" s="170">
        <v>301857.29536000005</v>
      </c>
      <c r="X80" s="170">
        <v>104525</v>
      </c>
      <c r="Y80" s="170">
        <v>36994</v>
      </c>
      <c r="Z80" s="170">
        <v>0</v>
      </c>
      <c r="AA80" s="171">
        <f t="shared" si="16"/>
        <v>3204632.7916157078</v>
      </c>
      <c r="AB80" s="169"/>
      <c r="AC80" s="171">
        <f t="shared" si="17"/>
        <v>12754936.705160826</v>
      </c>
      <c r="AF80" s="95"/>
      <c r="AH80" s="28"/>
      <c r="AJ80" s="28"/>
    </row>
    <row r="81" spans="1:36" x14ac:dyDescent="0.25">
      <c r="A81" s="6" t="str">
        <f t="shared" si="14"/>
        <v>Brentside High School</v>
      </c>
      <c r="B81" s="49"/>
      <c r="C81" s="7">
        <v>3075400</v>
      </c>
      <c r="D81" s="6" t="s">
        <v>116</v>
      </c>
      <c r="E81" s="165">
        <v>9508099.2727952525</v>
      </c>
      <c r="F81" s="165">
        <v>-11593.009999999998</v>
      </c>
      <c r="G81" s="165">
        <v>-39544.01</v>
      </c>
      <c r="H81" s="166">
        <v>9456962.2527952529</v>
      </c>
      <c r="I81" s="167">
        <v>0</v>
      </c>
      <c r="J81" s="168">
        <f t="shared" si="15"/>
        <v>9456962.2527952529</v>
      </c>
      <c r="K81" s="169">
        <v>3071104</v>
      </c>
      <c r="L81" s="170">
        <v>146385.96712328776</v>
      </c>
      <c r="M81" s="170">
        <v>0</v>
      </c>
      <c r="N81" s="170">
        <v>0</v>
      </c>
      <c r="O81" s="170">
        <v>0</v>
      </c>
      <c r="P81" s="170">
        <v>0</v>
      </c>
      <c r="Q81" s="170">
        <v>0</v>
      </c>
      <c r="R81" s="170">
        <v>0</v>
      </c>
      <c r="S81" s="170">
        <v>1240295.3333333333</v>
      </c>
      <c r="T81" s="170">
        <v>20410.666666666668</v>
      </c>
      <c r="U81" s="170">
        <v>4000</v>
      </c>
      <c r="V81" s="170">
        <v>470294.99999999994</v>
      </c>
      <c r="W81" s="170">
        <v>309625.61408000003</v>
      </c>
      <c r="X81" s="170">
        <v>55033</v>
      </c>
      <c r="Y81" s="170">
        <v>19478</v>
      </c>
      <c r="Z81" s="170">
        <v>0</v>
      </c>
      <c r="AA81" s="171">
        <f t="shared" si="16"/>
        <v>2265523.5812032879</v>
      </c>
      <c r="AB81" s="169"/>
      <c r="AC81" s="171">
        <f t="shared" si="17"/>
        <v>11722485.83399854</v>
      </c>
      <c r="AF81" s="95"/>
      <c r="AH81" s="28"/>
      <c r="AJ81" s="28"/>
    </row>
    <row r="82" spans="1:36" x14ac:dyDescent="0.25">
      <c r="A82" s="6" t="str">
        <f t="shared" si="14"/>
        <v>Greenford High School</v>
      </c>
      <c r="B82" s="49"/>
      <c r="C82" s="7">
        <v>3075401</v>
      </c>
      <c r="D82" s="6" t="s">
        <v>117</v>
      </c>
      <c r="E82" s="165">
        <v>10248662.70780202</v>
      </c>
      <c r="F82" s="165">
        <v>-12472.72</v>
      </c>
      <c r="G82" s="165">
        <v>-42544.72</v>
      </c>
      <c r="H82" s="166">
        <v>10193645.267802021</v>
      </c>
      <c r="I82" s="167">
        <v>137500</v>
      </c>
      <c r="J82" s="168">
        <f t="shared" si="15"/>
        <v>10331145.267802021</v>
      </c>
      <c r="K82" s="169">
        <v>3072121</v>
      </c>
      <c r="L82" s="170">
        <v>244612.79178082198</v>
      </c>
      <c r="M82" s="170">
        <v>0</v>
      </c>
      <c r="N82" s="170">
        <v>126765</v>
      </c>
      <c r="O82" s="170">
        <v>0</v>
      </c>
      <c r="P82" s="170">
        <v>0</v>
      </c>
      <c r="Q82" s="170">
        <v>0</v>
      </c>
      <c r="R82" s="170">
        <v>0</v>
      </c>
      <c r="S82" s="170">
        <v>2623224.6666666665</v>
      </c>
      <c r="T82" s="170">
        <v>43780.666666666664</v>
      </c>
      <c r="U82" s="170">
        <v>0</v>
      </c>
      <c r="V82" s="170">
        <v>419695</v>
      </c>
      <c r="W82" s="170">
        <v>326817.21120000002</v>
      </c>
      <c r="X82" s="170">
        <v>118410</v>
      </c>
      <c r="Y82" s="170">
        <v>41907</v>
      </c>
      <c r="Z82" s="170">
        <v>0</v>
      </c>
      <c r="AA82" s="171">
        <f t="shared" si="16"/>
        <v>3945212.3363141548</v>
      </c>
      <c r="AB82" s="169"/>
      <c r="AC82" s="171">
        <f t="shared" si="17"/>
        <v>14276357.604116175</v>
      </c>
      <c r="AF82" s="95"/>
      <c r="AH82" s="28"/>
      <c r="AJ82" s="28"/>
    </row>
    <row r="83" spans="1:36" x14ac:dyDescent="0.25">
      <c r="A83" s="6" t="str">
        <f t="shared" si="14"/>
        <v>The Ellen Wilkinson School for Girls</v>
      </c>
      <c r="B83" s="49"/>
      <c r="C83" s="7">
        <v>3075402</v>
      </c>
      <c r="D83" s="6" t="s">
        <v>118</v>
      </c>
      <c r="E83" s="165">
        <v>7569558.1722559528</v>
      </c>
      <c r="F83" s="165">
        <v>-9371.9599999999991</v>
      </c>
      <c r="G83" s="165">
        <v>-31967.96</v>
      </c>
      <c r="H83" s="166">
        <v>7528218.2522559529</v>
      </c>
      <c r="I83" s="167">
        <v>0</v>
      </c>
      <c r="J83" s="168">
        <f t="shared" si="15"/>
        <v>7528218.2522559529</v>
      </c>
      <c r="K83" s="169">
        <v>3072125</v>
      </c>
      <c r="L83" s="170">
        <v>191221.64054794522</v>
      </c>
      <c r="M83" s="170">
        <v>0</v>
      </c>
      <c r="N83" s="170">
        <v>0</v>
      </c>
      <c r="O83" s="170">
        <v>0</v>
      </c>
      <c r="P83" s="170">
        <v>0</v>
      </c>
      <c r="Q83" s="170">
        <v>0</v>
      </c>
      <c r="R83" s="170">
        <v>0</v>
      </c>
      <c r="S83" s="170">
        <v>1238150.3333333333</v>
      </c>
      <c r="T83" s="170">
        <v>22278.333333333336</v>
      </c>
      <c r="U83" s="170">
        <v>0</v>
      </c>
      <c r="V83" s="170">
        <v>369064.99999999994</v>
      </c>
      <c r="W83" s="170">
        <v>245564.54815999992</v>
      </c>
      <c r="X83" s="170">
        <v>56235</v>
      </c>
      <c r="Y83" s="170">
        <v>19902</v>
      </c>
      <c r="Z83" s="170">
        <v>0</v>
      </c>
      <c r="AA83" s="171">
        <f t="shared" si="16"/>
        <v>2142416.8553746119</v>
      </c>
      <c r="AB83" s="169"/>
      <c r="AC83" s="171">
        <f t="shared" si="17"/>
        <v>9670635.1076305658</v>
      </c>
      <c r="AF83" s="95"/>
      <c r="AH83" s="28"/>
      <c r="AJ83" s="28"/>
    </row>
    <row r="84" spans="1:36" x14ac:dyDescent="0.25">
      <c r="A84" s="6" t="str">
        <f t="shared" si="14"/>
        <v>Northolt High School</v>
      </c>
      <c r="B84" s="49"/>
      <c r="C84" s="7">
        <v>3075404</v>
      </c>
      <c r="D84" s="6" t="s">
        <v>119</v>
      </c>
      <c r="E84" s="165">
        <v>4930102.5354610793</v>
      </c>
      <c r="F84" s="165">
        <v>-5696.34</v>
      </c>
      <c r="G84" s="165">
        <v>-19430.34</v>
      </c>
      <c r="H84" s="166">
        <v>4904975.8554610796</v>
      </c>
      <c r="I84" s="167">
        <v>0</v>
      </c>
      <c r="J84" s="168">
        <f t="shared" si="15"/>
        <v>4904975.8554610796</v>
      </c>
      <c r="K84" s="169">
        <v>3072154</v>
      </c>
      <c r="L84" s="170">
        <v>106935.39726027395</v>
      </c>
      <c r="M84" s="170">
        <v>0</v>
      </c>
      <c r="N84" s="170">
        <v>0</v>
      </c>
      <c r="O84" s="170">
        <v>0</v>
      </c>
      <c r="P84" s="170">
        <v>0</v>
      </c>
      <c r="Q84" s="170">
        <v>0</v>
      </c>
      <c r="R84" s="170">
        <v>0</v>
      </c>
      <c r="S84" s="170">
        <v>598025.33333333337</v>
      </c>
      <c r="T84" s="170">
        <v>3857.6666666666665</v>
      </c>
      <c r="U84" s="170">
        <v>0</v>
      </c>
      <c r="V84" s="170">
        <v>243835</v>
      </c>
      <c r="W84" s="170">
        <v>160852.66336000001</v>
      </c>
      <c r="X84" s="170">
        <v>35596</v>
      </c>
      <c r="Y84" s="170">
        <v>12598</v>
      </c>
      <c r="Z84" s="170">
        <v>0</v>
      </c>
      <c r="AA84" s="171">
        <f t="shared" si="16"/>
        <v>1161700.0606202739</v>
      </c>
      <c r="AB84" s="169"/>
      <c r="AC84" s="171">
        <f t="shared" si="17"/>
        <v>6066675.916081354</v>
      </c>
      <c r="AF84" s="95"/>
      <c r="AH84" s="28"/>
      <c r="AJ84" s="28"/>
    </row>
    <row r="85" spans="1:36" x14ac:dyDescent="0.25">
      <c r="A85" s="6" t="str">
        <f t="shared" si="14"/>
        <v>Belvue</v>
      </c>
      <c r="B85" s="49"/>
      <c r="C85" s="132">
        <v>3077005</v>
      </c>
      <c r="D85" s="129" t="s">
        <v>5</v>
      </c>
      <c r="E85" s="165">
        <v>0</v>
      </c>
      <c r="F85" s="165">
        <v>0</v>
      </c>
      <c r="G85" s="165">
        <v>0</v>
      </c>
      <c r="H85" s="166">
        <v>0</v>
      </c>
      <c r="I85" s="167">
        <v>2164167</v>
      </c>
      <c r="J85" s="168">
        <f t="shared" si="15"/>
        <v>2164167</v>
      </c>
      <c r="K85" s="169"/>
      <c r="L85" s="170">
        <v>0</v>
      </c>
      <c r="M85" s="170">
        <v>3155242</v>
      </c>
      <c r="N85" s="170">
        <v>0</v>
      </c>
      <c r="O85" s="170">
        <v>0</v>
      </c>
      <c r="P85" s="170">
        <v>0</v>
      </c>
      <c r="Q85" s="170">
        <v>0</v>
      </c>
      <c r="R85" s="170">
        <v>0</v>
      </c>
      <c r="S85" s="170">
        <v>0</v>
      </c>
      <c r="T85" s="170">
        <v>0</v>
      </c>
      <c r="U85" s="170">
        <v>0</v>
      </c>
      <c r="V85" s="170">
        <v>76400</v>
      </c>
      <c r="W85" s="170">
        <v>0</v>
      </c>
      <c r="X85" s="261">
        <v>117305.02</v>
      </c>
      <c r="Y85" s="262">
        <v>42329.96</v>
      </c>
      <c r="Z85" s="261">
        <v>4322.2</v>
      </c>
      <c r="AA85" s="171">
        <f t="shared" si="16"/>
        <v>3395599.18</v>
      </c>
      <c r="AB85" s="169"/>
      <c r="AC85" s="171">
        <f t="shared" si="17"/>
        <v>5559766.1799999997</v>
      </c>
      <c r="AF85" s="95"/>
      <c r="AH85" s="28"/>
      <c r="AJ85" s="28"/>
    </row>
    <row r="86" spans="1:36" x14ac:dyDescent="0.25">
      <c r="A86" s="6" t="str">
        <f t="shared" si="14"/>
        <v>Castlebar</v>
      </c>
      <c r="B86" s="49"/>
      <c r="C86" s="130">
        <v>3077007</v>
      </c>
      <c r="D86" s="131" t="s">
        <v>6</v>
      </c>
      <c r="E86" s="165">
        <v>0</v>
      </c>
      <c r="F86" s="165">
        <v>0</v>
      </c>
      <c r="G86" s="165">
        <v>0</v>
      </c>
      <c r="H86" s="166">
        <v>0</v>
      </c>
      <c r="I86" s="167">
        <v>1690000</v>
      </c>
      <c r="J86" s="168">
        <f t="shared" si="15"/>
        <v>1690000</v>
      </c>
      <c r="K86" s="169"/>
      <c r="L86" s="170">
        <v>0</v>
      </c>
      <c r="M86" s="170">
        <v>2644741</v>
      </c>
      <c r="N86" s="170">
        <v>0</v>
      </c>
      <c r="O86" s="170">
        <v>0</v>
      </c>
      <c r="P86" s="170">
        <v>0</v>
      </c>
      <c r="Q86" s="170">
        <v>17495</v>
      </c>
      <c r="R86" s="170">
        <v>19155</v>
      </c>
      <c r="S86" s="170">
        <v>0</v>
      </c>
      <c r="T86" s="170">
        <v>0</v>
      </c>
      <c r="U86" s="170">
        <v>0</v>
      </c>
      <c r="V86" s="170">
        <v>76665</v>
      </c>
      <c r="W86" s="170">
        <v>0</v>
      </c>
      <c r="X86" s="170">
        <v>94613.24</v>
      </c>
      <c r="Y86" s="170">
        <v>34141.519999999997</v>
      </c>
      <c r="Z86" s="170">
        <v>0</v>
      </c>
      <c r="AA86" s="171">
        <f t="shared" si="16"/>
        <v>2886810.7600000002</v>
      </c>
      <c r="AB86" s="169"/>
      <c r="AC86" s="171">
        <f t="shared" si="17"/>
        <v>4576810.76</v>
      </c>
      <c r="AF86" s="95"/>
      <c r="AH86" s="28"/>
      <c r="AJ86" s="28"/>
    </row>
    <row r="87" spans="1:36" x14ac:dyDescent="0.25">
      <c r="A87" s="6" t="str">
        <f t="shared" si="14"/>
        <v>Mandeville</v>
      </c>
      <c r="B87" s="49"/>
      <c r="C87" s="132">
        <v>3077010</v>
      </c>
      <c r="D87" s="129" t="s">
        <v>9</v>
      </c>
      <c r="E87" s="165">
        <v>0</v>
      </c>
      <c r="F87" s="165">
        <v>0</v>
      </c>
      <c r="G87" s="165">
        <v>0</v>
      </c>
      <c r="H87" s="166">
        <v>0</v>
      </c>
      <c r="I87" s="167">
        <v>1420000</v>
      </c>
      <c r="J87" s="168">
        <f t="shared" si="15"/>
        <v>1420000</v>
      </c>
      <c r="K87" s="169"/>
      <c r="L87" s="170">
        <v>0</v>
      </c>
      <c r="M87" s="170">
        <v>3113293</v>
      </c>
      <c r="N87" s="170">
        <v>0</v>
      </c>
      <c r="O87" s="170">
        <v>0</v>
      </c>
      <c r="P87" s="170">
        <v>0</v>
      </c>
      <c r="Q87" s="170">
        <v>17215</v>
      </c>
      <c r="R87" s="170">
        <v>21859</v>
      </c>
      <c r="S87" s="170">
        <v>0</v>
      </c>
      <c r="T87" s="170">
        <v>0</v>
      </c>
      <c r="U87" s="170">
        <v>0</v>
      </c>
      <c r="V87" s="170">
        <v>57834.999999999985</v>
      </c>
      <c r="W87" s="170">
        <v>0</v>
      </c>
      <c r="X87" s="170">
        <v>81344.31</v>
      </c>
      <c r="Y87" s="170">
        <v>29353.38</v>
      </c>
      <c r="Z87" s="170">
        <v>0</v>
      </c>
      <c r="AA87" s="171">
        <f t="shared" si="16"/>
        <v>3320899.69</v>
      </c>
      <c r="AB87" s="169"/>
      <c r="AC87" s="171">
        <f t="shared" si="17"/>
        <v>4740899.6899999995</v>
      </c>
      <c r="AF87" s="95"/>
      <c r="AH87" s="28"/>
      <c r="AJ87" s="28"/>
    </row>
    <row r="88" spans="1:36" x14ac:dyDescent="0.25">
      <c r="A88" s="6" t="str">
        <f t="shared" si="14"/>
        <v>John Chilton</v>
      </c>
      <c r="B88" s="49"/>
      <c r="C88" s="132">
        <v>3077012</v>
      </c>
      <c r="D88" s="129" t="s">
        <v>8</v>
      </c>
      <c r="E88" s="165">
        <v>0</v>
      </c>
      <c r="F88" s="165">
        <v>0</v>
      </c>
      <c r="G88" s="165">
        <v>0</v>
      </c>
      <c r="H88" s="166">
        <v>0</v>
      </c>
      <c r="I88" s="167">
        <v>1325833</v>
      </c>
      <c r="J88" s="168">
        <f t="shared" si="15"/>
        <v>1325833</v>
      </c>
      <c r="K88" s="169"/>
      <c r="L88" s="170">
        <v>0</v>
      </c>
      <c r="M88" s="170">
        <v>2152878</v>
      </c>
      <c r="N88" s="170">
        <v>0</v>
      </c>
      <c r="O88" s="170">
        <v>0</v>
      </c>
      <c r="P88" s="170">
        <v>0</v>
      </c>
      <c r="Q88" s="170">
        <v>16382</v>
      </c>
      <c r="R88" s="170">
        <v>6966</v>
      </c>
      <c r="S88" s="170">
        <v>0</v>
      </c>
      <c r="T88" s="170">
        <v>0</v>
      </c>
      <c r="U88" s="170">
        <v>0</v>
      </c>
      <c r="V88" s="170">
        <v>55944.999999999985</v>
      </c>
      <c r="W88" s="170">
        <v>0</v>
      </c>
      <c r="X88" s="170">
        <v>74277.16</v>
      </c>
      <c r="Y88" s="170">
        <v>26803.18</v>
      </c>
      <c r="Z88" s="170">
        <v>498.89</v>
      </c>
      <c r="AA88" s="171">
        <f t="shared" si="16"/>
        <v>2333750.2300000004</v>
      </c>
      <c r="AB88" s="169"/>
      <c r="AC88" s="171">
        <f t="shared" si="17"/>
        <v>3659583.2300000004</v>
      </c>
      <c r="AF88" s="95"/>
      <c r="AH88" s="28"/>
      <c r="AJ88" s="28"/>
    </row>
    <row r="89" spans="1:36" x14ac:dyDescent="0.25">
      <c r="A89" s="6" t="str">
        <f t="shared" si="14"/>
        <v>Springhallow</v>
      </c>
      <c r="B89" s="49"/>
      <c r="C89" s="132">
        <v>3077013</v>
      </c>
      <c r="D89" s="129" t="s">
        <v>11</v>
      </c>
      <c r="E89" s="165">
        <v>0</v>
      </c>
      <c r="F89" s="165">
        <v>0</v>
      </c>
      <c r="G89" s="165">
        <v>0</v>
      </c>
      <c r="H89" s="166">
        <v>0</v>
      </c>
      <c r="I89" s="167">
        <v>1600000</v>
      </c>
      <c r="J89" s="168">
        <f t="shared" si="15"/>
        <v>1600000</v>
      </c>
      <c r="K89" s="169"/>
      <c r="L89" s="170">
        <v>0</v>
      </c>
      <c r="M89" s="170">
        <v>2771238</v>
      </c>
      <c r="N89" s="170">
        <v>0</v>
      </c>
      <c r="O89" s="170">
        <v>0</v>
      </c>
      <c r="P89" s="170">
        <v>0</v>
      </c>
      <c r="Q89" s="170">
        <v>16533</v>
      </c>
      <c r="R89" s="170">
        <v>5428</v>
      </c>
      <c r="S89" s="170">
        <v>0</v>
      </c>
      <c r="T89" s="170">
        <v>0</v>
      </c>
      <c r="U89" s="170">
        <v>0</v>
      </c>
      <c r="V89" s="170">
        <v>70909.999999999985</v>
      </c>
      <c r="W89" s="170">
        <v>0</v>
      </c>
      <c r="X89" s="170">
        <v>87498</v>
      </c>
      <c r="Y89" s="170">
        <v>31574</v>
      </c>
      <c r="Z89" s="170">
        <v>1034.3900000000001</v>
      </c>
      <c r="AA89" s="171">
        <f t="shared" si="16"/>
        <v>2984215.39</v>
      </c>
      <c r="AB89" s="169"/>
      <c r="AC89" s="171">
        <f t="shared" si="17"/>
        <v>4584215.3900000006</v>
      </c>
      <c r="AF89" s="95"/>
      <c r="AH89" s="28"/>
      <c r="AJ89" s="28"/>
    </row>
    <row r="90" spans="1:36" x14ac:dyDescent="0.25">
      <c r="A90" s="6" t="str">
        <f t="shared" si="14"/>
        <v>St Ann's</v>
      </c>
      <c r="B90" s="49"/>
      <c r="C90" s="132">
        <v>3077014</v>
      </c>
      <c r="D90" s="129" t="s">
        <v>12</v>
      </c>
      <c r="E90" s="165">
        <v>0</v>
      </c>
      <c r="F90" s="165">
        <v>0</v>
      </c>
      <c r="G90" s="165">
        <v>0</v>
      </c>
      <c r="H90" s="166">
        <v>0</v>
      </c>
      <c r="I90" s="167">
        <v>1100000</v>
      </c>
      <c r="J90" s="168">
        <f t="shared" si="15"/>
        <v>1100000</v>
      </c>
      <c r="K90" s="169"/>
      <c r="L90" s="170">
        <v>0</v>
      </c>
      <c r="M90" s="170">
        <v>2921854</v>
      </c>
      <c r="N90" s="170">
        <v>0</v>
      </c>
      <c r="O90" s="170">
        <v>0</v>
      </c>
      <c r="P90" s="170">
        <v>0</v>
      </c>
      <c r="Q90" s="170">
        <v>0</v>
      </c>
      <c r="R90" s="170">
        <v>0</v>
      </c>
      <c r="S90" s="170">
        <v>0</v>
      </c>
      <c r="T90" s="170">
        <v>0</v>
      </c>
      <c r="U90" s="170">
        <v>0</v>
      </c>
      <c r="V90" s="170">
        <v>27175.000000000007</v>
      </c>
      <c r="W90" s="170">
        <v>0</v>
      </c>
      <c r="X90" s="170">
        <v>63460.1</v>
      </c>
      <c r="Y90" s="170">
        <v>22899.8</v>
      </c>
      <c r="Z90" s="170">
        <v>4072.24</v>
      </c>
      <c r="AA90" s="171">
        <f t="shared" si="16"/>
        <v>3039461.14</v>
      </c>
      <c r="AB90" s="169"/>
      <c r="AC90" s="171">
        <f t="shared" si="17"/>
        <v>4139461.14</v>
      </c>
      <c r="AF90" s="95"/>
      <c r="AH90" s="28"/>
      <c r="AJ90" s="28"/>
    </row>
    <row r="91" spans="1:36" s="35" customFormat="1" x14ac:dyDescent="0.2">
      <c r="A91" s="10" t="s">
        <v>15</v>
      </c>
      <c r="C91" s="10" t="s">
        <v>15</v>
      </c>
      <c r="D91" s="8" t="s">
        <v>15</v>
      </c>
      <c r="E91" s="172">
        <f>SUM(E13:E90)</f>
        <v>189061116.40958273</v>
      </c>
      <c r="F91" s="172">
        <f t="shared" ref="F91:H91" si="18">SUM(F13:F90)</f>
        <v>-537869.15</v>
      </c>
      <c r="G91" s="172">
        <f t="shared" si="18"/>
        <v>-1011714.6299999998</v>
      </c>
      <c r="H91" s="172">
        <f t="shared" si="18"/>
        <v>187511532.62958276</v>
      </c>
      <c r="I91" s="173">
        <f>SUM(I13:I90)</f>
        <v>10898000</v>
      </c>
      <c r="J91" s="172">
        <f>SUM(J13:J90)</f>
        <v>198409532.62958276</v>
      </c>
      <c r="K91" s="174"/>
      <c r="L91" s="173">
        <f t="shared" ref="L91:AA91" si="19">SUM(L13:L90)</f>
        <v>7743854.7147123329</v>
      </c>
      <c r="M91" s="173">
        <f t="shared" si="19"/>
        <v>16759246</v>
      </c>
      <c r="N91" s="173">
        <f t="shared" si="19"/>
        <v>1647564</v>
      </c>
      <c r="O91" s="173">
        <f t="shared" si="19"/>
        <v>70093.61</v>
      </c>
      <c r="P91" s="173">
        <f t="shared" si="19"/>
        <v>7734437.3199999966</v>
      </c>
      <c r="Q91" s="173">
        <f t="shared" si="19"/>
        <v>1245873</v>
      </c>
      <c r="R91" s="173">
        <f t="shared" si="19"/>
        <v>3508163</v>
      </c>
      <c r="S91" s="173">
        <f t="shared" si="19"/>
        <v>10583439.666666668</v>
      </c>
      <c r="T91" s="173">
        <f t="shared" si="19"/>
        <v>153416.66666666666</v>
      </c>
      <c r="U91" s="173">
        <f t="shared" si="19"/>
        <v>74400</v>
      </c>
      <c r="V91" s="173">
        <f t="shared" si="19"/>
        <v>11282930</v>
      </c>
      <c r="W91" s="225">
        <f t="shared" si="19"/>
        <v>5708570.3731199987</v>
      </c>
      <c r="X91" s="225">
        <f t="shared" si="19"/>
        <v>1582154.98</v>
      </c>
      <c r="Y91" s="225">
        <f t="shared" si="19"/>
        <v>564212.54</v>
      </c>
      <c r="Z91" s="173">
        <f t="shared" si="19"/>
        <v>9927.7200000000012</v>
      </c>
      <c r="AA91" s="175">
        <f t="shared" si="19"/>
        <v>68668283.591165662</v>
      </c>
      <c r="AB91" s="174"/>
      <c r="AC91" s="175">
        <f>SUM(AC13:AC90)</f>
        <v>267077816.22074842</v>
      </c>
    </row>
    <row r="92" spans="1:36" x14ac:dyDescent="0.25">
      <c r="K92" s="37"/>
      <c r="AC92" s="37"/>
      <c r="AD92" s="37"/>
      <c r="AE92" s="37"/>
      <c r="AH92" s="28"/>
      <c r="AJ92" s="28"/>
    </row>
    <row r="93" spans="1:36" hidden="1" x14ac:dyDescent="0.25">
      <c r="A93" s="31"/>
      <c r="D93" s="31"/>
      <c r="E93" s="31"/>
      <c r="F93" s="31"/>
      <c r="G93" s="31"/>
      <c r="H93" s="31"/>
      <c r="I93" s="31"/>
      <c r="J93"/>
      <c r="K93"/>
      <c r="L93" s="31"/>
      <c r="M93"/>
      <c r="N93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0"/>
      <c r="AG93" s="30"/>
      <c r="AH93" s="30"/>
      <c r="AJ93" s="28"/>
    </row>
    <row r="94" spans="1:36" hidden="1" x14ac:dyDescent="0.25">
      <c r="A94" s="31"/>
      <c r="D94" s="31"/>
      <c r="E94" s="31"/>
      <c r="F94" s="31"/>
      <c r="G94" s="31"/>
      <c r="H94" s="31"/>
      <c r="I94" s="31"/>
      <c r="J94"/>
      <c r="K94"/>
      <c r="L94" s="31"/>
      <c r="M94"/>
      <c r="N94"/>
      <c r="O94" s="31"/>
      <c r="P94" s="31"/>
      <c r="Q94" s="31"/>
      <c r="R94" s="31"/>
      <c r="S94" s="31"/>
      <c r="T94" s="31"/>
      <c r="U94" s="31"/>
      <c r="V94" s="31"/>
      <c r="W94" s="219">
        <v>8219088</v>
      </c>
      <c r="X94" s="219">
        <v>970970</v>
      </c>
      <c r="Y94" s="219">
        <v>343647</v>
      </c>
      <c r="Z94" s="31"/>
      <c r="AA94" s="31"/>
      <c r="AB94" s="31"/>
      <c r="AC94" s="31"/>
      <c r="AD94" s="31"/>
      <c r="AE94" s="31"/>
      <c r="AF94" s="31"/>
      <c r="AG94" s="30"/>
      <c r="AH94" s="30"/>
      <c r="AI94" s="30"/>
      <c r="AJ94" s="28"/>
    </row>
    <row r="95" spans="1:36" hidden="1" x14ac:dyDescent="0.25">
      <c r="J95"/>
      <c r="K95"/>
      <c r="M95"/>
      <c r="N95"/>
      <c r="W95" s="95"/>
      <c r="X95" s="95"/>
      <c r="Y95" s="95"/>
      <c r="AG95" s="37"/>
      <c r="AH95" s="28"/>
      <c r="AI95" s="37"/>
      <c r="AJ95" s="28"/>
    </row>
    <row r="96" spans="1:36" hidden="1" x14ac:dyDescent="0.25">
      <c r="J96"/>
      <c r="K96"/>
      <c r="W96" s="95">
        <f>W91-W94</f>
        <v>-2510517.6268800013</v>
      </c>
      <c r="X96" s="95">
        <f t="shared" ref="X96:Y96" si="20">X91-X94</f>
        <v>611184.98</v>
      </c>
      <c r="Y96" s="95">
        <f t="shared" si="20"/>
        <v>220565.54000000004</v>
      </c>
    </row>
    <row r="97" spans="1:36" hidden="1" x14ac:dyDescent="0.25">
      <c r="X97" s="227"/>
      <c r="Y97" s="227"/>
    </row>
    <row r="98" spans="1:36" ht="18.75" hidden="1" x14ac:dyDescent="0.3">
      <c r="C98" s="221">
        <v>3074008</v>
      </c>
      <c r="D98" s="221" t="s">
        <v>184</v>
      </c>
      <c r="E98" s="222"/>
      <c r="F98" s="222"/>
      <c r="G98" s="222"/>
      <c r="H98" s="222"/>
      <c r="I98" s="222"/>
      <c r="J98" s="192"/>
      <c r="K98" s="19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3">
        <v>58093.563840000003</v>
      </c>
      <c r="X98" s="223"/>
      <c r="Y98" s="223"/>
    </row>
    <row r="99" spans="1:36" hidden="1" x14ac:dyDescent="0.25">
      <c r="J99"/>
      <c r="K99"/>
    </row>
    <row r="100" spans="1:36" hidden="1" x14ac:dyDescent="0.25">
      <c r="W100" s="220">
        <f>W98+W96</f>
        <v>-2452424.0630400013</v>
      </c>
      <c r="X100" s="220"/>
      <c r="Y100" s="220"/>
    </row>
    <row r="101" spans="1:36" hidden="1" x14ac:dyDescent="0.25">
      <c r="J101" s="28"/>
    </row>
    <row r="102" spans="1:36" x14ac:dyDescent="0.25">
      <c r="A102" s="6" t="str">
        <f t="shared" ref="A102:A118" si="21">D102</f>
        <v>Ark Priory Primary Academy</v>
      </c>
      <c r="B102" s="49"/>
      <c r="C102" s="7">
        <v>3072001</v>
      </c>
      <c r="D102" s="6" t="s">
        <v>127</v>
      </c>
      <c r="E102" s="165">
        <v>0</v>
      </c>
      <c r="F102" s="165">
        <v>0</v>
      </c>
      <c r="G102" s="165">
        <v>0</v>
      </c>
      <c r="H102" s="166">
        <v>0</v>
      </c>
      <c r="I102" s="167">
        <v>0</v>
      </c>
      <c r="J102" s="168">
        <f t="shared" ref="J102:J118" si="22">SUM(H102:I102)</f>
        <v>0</v>
      </c>
      <c r="K102" s="169">
        <v>3077013</v>
      </c>
      <c r="L102" s="170">
        <v>114550.70410958907</v>
      </c>
      <c r="M102" s="170">
        <v>0</v>
      </c>
      <c r="N102" s="170">
        <v>0</v>
      </c>
      <c r="O102" s="170">
        <v>0</v>
      </c>
      <c r="P102" s="170">
        <v>153927.15</v>
      </c>
      <c r="Q102" s="170">
        <v>0</v>
      </c>
      <c r="R102" s="170">
        <v>0</v>
      </c>
      <c r="S102" s="170">
        <v>0</v>
      </c>
      <c r="T102" s="170">
        <v>0</v>
      </c>
      <c r="U102" s="170">
        <v>0</v>
      </c>
      <c r="V102" s="170">
        <v>0</v>
      </c>
      <c r="W102" s="170">
        <v>0</v>
      </c>
      <c r="X102" s="170">
        <v>0</v>
      </c>
      <c r="Y102" s="170">
        <v>0</v>
      </c>
      <c r="Z102" s="170">
        <v>0</v>
      </c>
      <c r="AA102" s="171">
        <f t="shared" ref="AA102:AA118" si="23">SUM(L102:Z102)</f>
        <v>268477.85410958907</v>
      </c>
      <c r="AB102" s="169"/>
      <c r="AC102" s="171">
        <f t="shared" ref="AC102:AC118" si="24">AA102+J102</f>
        <v>268477.85410958907</v>
      </c>
      <c r="AF102" s="95"/>
      <c r="AH102" s="28"/>
      <c r="AJ102" s="28"/>
    </row>
    <row r="103" spans="1:36" x14ac:dyDescent="0.25">
      <c r="A103" s="6" t="str">
        <f t="shared" si="21"/>
        <v>St Mary's Church of England Primary Norwood Green</v>
      </c>
      <c r="B103" s="49"/>
      <c r="C103" s="7">
        <v>3072003</v>
      </c>
      <c r="D103" s="6" t="s">
        <v>128</v>
      </c>
      <c r="E103" s="165">
        <v>0</v>
      </c>
      <c r="F103" s="165">
        <v>0</v>
      </c>
      <c r="G103" s="165">
        <v>0</v>
      </c>
      <c r="H103" s="166">
        <v>0</v>
      </c>
      <c r="I103" s="167">
        <v>0</v>
      </c>
      <c r="J103" s="168">
        <f t="shared" si="22"/>
        <v>0</v>
      </c>
      <c r="K103" s="169">
        <v>3077014</v>
      </c>
      <c r="L103" s="170">
        <v>34666.008219178097</v>
      </c>
      <c r="M103" s="170">
        <v>0</v>
      </c>
      <c r="N103" s="170">
        <v>0</v>
      </c>
      <c r="O103" s="170">
        <v>0</v>
      </c>
      <c r="P103" s="170">
        <v>0</v>
      </c>
      <c r="Q103" s="170">
        <v>0</v>
      </c>
      <c r="R103" s="170">
        <v>0</v>
      </c>
      <c r="S103" s="170">
        <v>0</v>
      </c>
      <c r="T103" s="170">
        <v>0</v>
      </c>
      <c r="U103" s="170">
        <v>0</v>
      </c>
      <c r="V103" s="170">
        <v>0</v>
      </c>
      <c r="W103" s="170">
        <v>0</v>
      </c>
      <c r="X103" s="170">
        <v>0</v>
      </c>
      <c r="Y103" s="170">
        <v>0</v>
      </c>
      <c r="Z103" s="170">
        <v>0</v>
      </c>
      <c r="AA103" s="171">
        <f t="shared" si="23"/>
        <v>34666.008219178097</v>
      </c>
      <c r="AB103" s="169"/>
      <c r="AC103" s="171">
        <f t="shared" si="24"/>
        <v>34666.008219178097</v>
      </c>
      <c r="AF103" s="95"/>
      <c r="AH103" s="28"/>
      <c r="AJ103" s="28"/>
    </row>
    <row r="104" spans="1:36" x14ac:dyDescent="0.25">
      <c r="A104" s="6" t="str">
        <f t="shared" si="21"/>
        <v>Ark Byron Primary Academy</v>
      </c>
      <c r="B104" s="49"/>
      <c r="C104" s="7">
        <v>3072004</v>
      </c>
      <c r="D104" s="6" t="s">
        <v>4</v>
      </c>
      <c r="E104" s="165">
        <v>0</v>
      </c>
      <c r="F104" s="165">
        <v>0</v>
      </c>
      <c r="G104" s="165">
        <v>0</v>
      </c>
      <c r="H104" s="166">
        <v>0</v>
      </c>
      <c r="I104" s="167">
        <v>0</v>
      </c>
      <c r="J104" s="168">
        <f t="shared" si="22"/>
        <v>0</v>
      </c>
      <c r="K104" s="169">
        <v>3073505</v>
      </c>
      <c r="L104" s="170">
        <v>131010.48767123291</v>
      </c>
      <c r="M104" s="170">
        <v>0</v>
      </c>
      <c r="N104" s="170">
        <v>0</v>
      </c>
      <c r="O104" s="170">
        <v>0</v>
      </c>
      <c r="P104" s="170">
        <v>0</v>
      </c>
      <c r="Q104" s="170">
        <v>0</v>
      </c>
      <c r="R104" s="170">
        <v>0</v>
      </c>
      <c r="S104" s="170">
        <v>0</v>
      </c>
      <c r="T104" s="170">
        <v>0</v>
      </c>
      <c r="U104" s="170">
        <v>0</v>
      </c>
      <c r="V104" s="170">
        <v>0</v>
      </c>
      <c r="W104" s="170">
        <v>0</v>
      </c>
      <c r="X104" s="170">
        <v>0</v>
      </c>
      <c r="Y104" s="170">
        <v>0</v>
      </c>
      <c r="Z104" s="170">
        <v>0</v>
      </c>
      <c r="AA104" s="171">
        <f t="shared" si="23"/>
        <v>131010.48767123291</v>
      </c>
      <c r="AB104" s="169"/>
      <c r="AC104" s="171">
        <f t="shared" si="24"/>
        <v>131010.48767123291</v>
      </c>
      <c r="AF104" s="95"/>
      <c r="AH104" s="28"/>
      <c r="AJ104" s="28"/>
    </row>
    <row r="105" spans="1:36" x14ac:dyDescent="0.25">
      <c r="A105" s="6" t="str">
        <f t="shared" si="21"/>
        <v>Woodlands Academy</v>
      </c>
      <c r="B105" s="49"/>
      <c r="C105" s="7">
        <v>3072010</v>
      </c>
      <c r="D105" s="6" t="s">
        <v>13</v>
      </c>
      <c r="E105" s="165">
        <v>0</v>
      </c>
      <c r="F105" s="165">
        <v>0</v>
      </c>
      <c r="G105" s="165">
        <v>0</v>
      </c>
      <c r="H105" s="166">
        <v>0</v>
      </c>
      <c r="I105" s="167">
        <v>0</v>
      </c>
      <c r="J105" s="168">
        <f t="shared" si="22"/>
        <v>0</v>
      </c>
      <c r="K105" s="169">
        <v>3073506</v>
      </c>
      <c r="L105" s="170">
        <v>68196.558904109595</v>
      </c>
      <c r="M105" s="170">
        <v>0</v>
      </c>
      <c r="N105" s="170">
        <v>0</v>
      </c>
      <c r="O105" s="170">
        <v>3434.5600000000004</v>
      </c>
      <c r="P105" s="170">
        <v>81106.350000000006</v>
      </c>
      <c r="Q105" s="170">
        <v>0</v>
      </c>
      <c r="R105" s="170">
        <v>0</v>
      </c>
      <c r="S105" s="170">
        <v>0</v>
      </c>
      <c r="T105" s="170">
        <v>0</v>
      </c>
      <c r="U105" s="170">
        <v>0</v>
      </c>
      <c r="V105" s="170">
        <v>0</v>
      </c>
      <c r="W105" s="170">
        <v>0</v>
      </c>
      <c r="X105" s="170">
        <v>0</v>
      </c>
      <c r="Y105" s="170">
        <v>0</v>
      </c>
      <c r="Z105" s="170">
        <v>0</v>
      </c>
      <c r="AA105" s="171">
        <f t="shared" si="23"/>
        <v>152737.46890410961</v>
      </c>
      <c r="AB105" s="169"/>
      <c r="AC105" s="171">
        <f t="shared" si="24"/>
        <v>152737.46890410961</v>
      </c>
      <c r="AF105" s="95"/>
      <c r="AH105" s="28"/>
      <c r="AJ105" s="28"/>
    </row>
    <row r="106" spans="1:36" x14ac:dyDescent="0.25">
      <c r="A106" s="6" t="str">
        <f t="shared" si="21"/>
        <v>Dormers Wells Junior School</v>
      </c>
      <c r="B106" s="49"/>
      <c r="C106" s="7">
        <v>3072011</v>
      </c>
      <c r="D106" s="6" t="s">
        <v>129</v>
      </c>
      <c r="E106" s="165">
        <v>0</v>
      </c>
      <c r="F106" s="165">
        <v>0</v>
      </c>
      <c r="G106" s="165">
        <v>0</v>
      </c>
      <c r="H106" s="166">
        <v>0</v>
      </c>
      <c r="I106" s="167">
        <v>0</v>
      </c>
      <c r="J106" s="168">
        <f t="shared" si="22"/>
        <v>0</v>
      </c>
      <c r="K106" s="169">
        <v>3073504</v>
      </c>
      <c r="L106" s="170">
        <v>101930.96589041098</v>
      </c>
      <c r="M106" s="170">
        <v>0</v>
      </c>
      <c r="N106" s="170">
        <v>0</v>
      </c>
      <c r="O106" s="170">
        <v>0</v>
      </c>
      <c r="P106" s="170">
        <v>0</v>
      </c>
      <c r="Q106" s="170">
        <v>0</v>
      </c>
      <c r="R106" s="170">
        <v>0</v>
      </c>
      <c r="S106" s="170">
        <v>0</v>
      </c>
      <c r="T106" s="170">
        <v>0</v>
      </c>
      <c r="U106" s="170">
        <v>0</v>
      </c>
      <c r="V106" s="170">
        <v>0</v>
      </c>
      <c r="W106" s="170">
        <v>0</v>
      </c>
      <c r="X106" s="170">
        <v>0</v>
      </c>
      <c r="Y106" s="170">
        <v>0</v>
      </c>
      <c r="Z106" s="170">
        <v>0</v>
      </c>
      <c r="AA106" s="171">
        <f t="shared" si="23"/>
        <v>101930.96589041098</v>
      </c>
      <c r="AB106" s="169"/>
      <c r="AC106" s="171">
        <f t="shared" si="24"/>
        <v>101930.96589041098</v>
      </c>
      <c r="AF106" s="95"/>
      <c r="AH106" s="28"/>
      <c r="AJ106" s="28"/>
    </row>
    <row r="107" spans="1:36" x14ac:dyDescent="0.25">
      <c r="A107" s="6" t="str">
        <f t="shared" si="21"/>
        <v>Dormers Wells Infant School</v>
      </c>
      <c r="B107" s="49"/>
      <c r="C107" s="7">
        <v>3072012</v>
      </c>
      <c r="D107" s="6" t="s">
        <v>130</v>
      </c>
      <c r="E107" s="165">
        <v>0</v>
      </c>
      <c r="F107" s="165">
        <v>0</v>
      </c>
      <c r="G107" s="165">
        <v>0</v>
      </c>
      <c r="H107" s="166">
        <v>0</v>
      </c>
      <c r="I107" s="167">
        <v>0</v>
      </c>
      <c r="J107" s="168">
        <f t="shared" si="22"/>
        <v>0</v>
      </c>
      <c r="K107" s="169">
        <v>3072058</v>
      </c>
      <c r="L107" s="170">
        <v>44355.476712328782</v>
      </c>
      <c r="M107" s="170">
        <v>0</v>
      </c>
      <c r="N107" s="170">
        <v>0</v>
      </c>
      <c r="O107" s="170">
        <v>0</v>
      </c>
      <c r="P107" s="170">
        <v>144973.6</v>
      </c>
      <c r="Q107" s="170">
        <v>0</v>
      </c>
      <c r="R107" s="170">
        <v>0</v>
      </c>
      <c r="S107" s="170">
        <v>0</v>
      </c>
      <c r="T107" s="170">
        <v>0</v>
      </c>
      <c r="U107" s="170">
        <v>0</v>
      </c>
      <c r="V107" s="170">
        <v>0</v>
      </c>
      <c r="W107" s="170">
        <v>0</v>
      </c>
      <c r="X107" s="170">
        <v>0</v>
      </c>
      <c r="Y107" s="170">
        <v>0</v>
      </c>
      <c r="Z107" s="170">
        <v>0</v>
      </c>
      <c r="AA107" s="171">
        <f t="shared" si="23"/>
        <v>189329.0767123288</v>
      </c>
      <c r="AB107" s="169"/>
      <c r="AC107" s="171">
        <f t="shared" si="24"/>
        <v>189329.0767123288</v>
      </c>
      <c r="AF107" s="95"/>
      <c r="AH107" s="28"/>
      <c r="AJ107" s="28"/>
    </row>
    <row r="108" spans="1:36" x14ac:dyDescent="0.25">
      <c r="A108" s="6" t="str">
        <f t="shared" si="21"/>
        <v>Brentside Primary School</v>
      </c>
      <c r="B108" s="49"/>
      <c r="C108" s="7">
        <v>3072185</v>
      </c>
      <c r="D108" s="6" t="s">
        <v>131</v>
      </c>
      <c r="E108" s="165">
        <v>0</v>
      </c>
      <c r="F108" s="165">
        <v>0</v>
      </c>
      <c r="G108" s="165">
        <v>0</v>
      </c>
      <c r="H108" s="166">
        <v>0</v>
      </c>
      <c r="I108" s="167">
        <v>0</v>
      </c>
      <c r="J108" s="168">
        <f t="shared" si="22"/>
        <v>0</v>
      </c>
      <c r="K108" s="169">
        <v>3073507</v>
      </c>
      <c r="L108" s="170">
        <v>102815.09863013703</v>
      </c>
      <c r="M108" s="170">
        <v>0</v>
      </c>
      <c r="N108" s="170">
        <v>0</v>
      </c>
      <c r="O108" s="170">
        <v>0</v>
      </c>
      <c r="P108" s="170">
        <v>69535.649999999994</v>
      </c>
      <c r="Q108" s="170">
        <v>0</v>
      </c>
      <c r="R108" s="170">
        <v>0</v>
      </c>
      <c r="S108" s="170">
        <v>0</v>
      </c>
      <c r="T108" s="170">
        <v>0</v>
      </c>
      <c r="U108" s="170">
        <v>0</v>
      </c>
      <c r="V108" s="170">
        <v>0</v>
      </c>
      <c r="W108" s="170">
        <v>0</v>
      </c>
      <c r="X108" s="170">
        <v>0</v>
      </c>
      <c r="Y108" s="170">
        <v>0</v>
      </c>
      <c r="Z108" s="170">
        <v>0</v>
      </c>
      <c r="AA108" s="171">
        <f t="shared" si="23"/>
        <v>172350.74863013701</v>
      </c>
      <c r="AB108" s="169"/>
      <c r="AC108" s="171">
        <f t="shared" si="24"/>
        <v>172350.74863013701</v>
      </c>
      <c r="AF108" s="95"/>
      <c r="AH108" s="28"/>
      <c r="AJ108" s="28"/>
    </row>
    <row r="109" spans="1:36" x14ac:dyDescent="0.25">
      <c r="A109" s="6" t="str">
        <f t="shared" si="21"/>
        <v>William Perkin Church of England High School</v>
      </c>
      <c r="B109" s="49"/>
      <c r="C109" s="7">
        <v>3074000</v>
      </c>
      <c r="D109" s="6" t="s">
        <v>132</v>
      </c>
      <c r="E109" s="165">
        <v>0</v>
      </c>
      <c r="F109" s="165">
        <v>0</v>
      </c>
      <c r="G109" s="165">
        <v>0</v>
      </c>
      <c r="H109" s="166">
        <v>0</v>
      </c>
      <c r="I109" s="167">
        <v>0</v>
      </c>
      <c r="J109" s="168">
        <f t="shared" si="22"/>
        <v>0</v>
      </c>
      <c r="K109" s="169">
        <v>3072003</v>
      </c>
      <c r="L109" s="170">
        <v>156477.10136986294</v>
      </c>
      <c r="M109" s="170">
        <v>0</v>
      </c>
      <c r="N109" s="170">
        <v>178792</v>
      </c>
      <c r="O109" s="170">
        <v>0</v>
      </c>
      <c r="P109" s="170">
        <v>0</v>
      </c>
      <c r="Q109" s="170">
        <v>0</v>
      </c>
      <c r="R109" s="170">
        <v>0</v>
      </c>
      <c r="S109" s="170">
        <v>0</v>
      </c>
      <c r="T109" s="170">
        <v>0</v>
      </c>
      <c r="U109" s="170">
        <v>0</v>
      </c>
      <c r="V109" s="170">
        <v>0</v>
      </c>
      <c r="W109" s="170">
        <v>0</v>
      </c>
      <c r="X109" s="170">
        <v>0</v>
      </c>
      <c r="Y109" s="170">
        <v>0</v>
      </c>
      <c r="Z109" s="170">
        <v>0</v>
      </c>
      <c r="AA109" s="171">
        <f t="shared" si="23"/>
        <v>335269.10136986291</v>
      </c>
      <c r="AB109" s="169"/>
      <c r="AC109" s="171">
        <f t="shared" si="24"/>
        <v>335269.10136986291</v>
      </c>
      <c r="AF109" s="95"/>
      <c r="AH109" s="28"/>
      <c r="AJ109" s="28"/>
    </row>
    <row r="110" spans="1:36" x14ac:dyDescent="0.25">
      <c r="A110" s="6" t="str">
        <f t="shared" si="21"/>
        <v>Ealing Fields High School</v>
      </c>
      <c r="B110" s="49"/>
      <c r="C110" s="7">
        <v>3074001</v>
      </c>
      <c r="D110" s="6" t="s">
        <v>133</v>
      </c>
      <c r="E110" s="165">
        <v>0</v>
      </c>
      <c r="F110" s="165">
        <v>0</v>
      </c>
      <c r="G110" s="165">
        <v>0</v>
      </c>
      <c r="H110" s="166">
        <v>0</v>
      </c>
      <c r="I110" s="167">
        <v>0</v>
      </c>
      <c r="J110" s="168">
        <f t="shared" si="22"/>
        <v>0</v>
      </c>
      <c r="K110" s="169">
        <v>3073508</v>
      </c>
      <c r="L110" s="170">
        <v>84107.665753424692</v>
      </c>
      <c r="M110" s="170">
        <v>0</v>
      </c>
      <c r="N110" s="170">
        <v>0</v>
      </c>
      <c r="O110" s="170">
        <v>0</v>
      </c>
      <c r="P110" s="170">
        <v>0</v>
      </c>
      <c r="Q110" s="170">
        <v>0</v>
      </c>
      <c r="R110" s="170">
        <v>0</v>
      </c>
      <c r="S110" s="170">
        <v>0</v>
      </c>
      <c r="T110" s="170">
        <v>0</v>
      </c>
      <c r="U110" s="170">
        <v>0</v>
      </c>
      <c r="V110" s="170">
        <v>0</v>
      </c>
      <c r="W110" s="170">
        <v>0</v>
      </c>
      <c r="X110" s="170">
        <v>0</v>
      </c>
      <c r="Y110" s="170">
        <v>0</v>
      </c>
      <c r="Z110" s="170">
        <v>0</v>
      </c>
      <c r="AA110" s="171">
        <f t="shared" si="23"/>
        <v>84107.665753424692</v>
      </c>
      <c r="AB110" s="169"/>
      <c r="AC110" s="171">
        <f t="shared" si="24"/>
        <v>84107.665753424692</v>
      </c>
      <c r="AF110" s="95"/>
      <c r="AH110" s="28"/>
      <c r="AJ110" s="28"/>
    </row>
    <row r="111" spans="1:36" x14ac:dyDescent="0.25">
      <c r="A111" s="6" t="str">
        <f t="shared" si="21"/>
        <v>Ada Lovelace Church of England High School</v>
      </c>
      <c r="B111" s="49"/>
      <c r="C111" s="7">
        <v>3074002</v>
      </c>
      <c r="D111" s="6" t="s">
        <v>134</v>
      </c>
      <c r="E111" s="165">
        <v>0</v>
      </c>
      <c r="F111" s="165">
        <v>0</v>
      </c>
      <c r="G111" s="165">
        <v>0</v>
      </c>
      <c r="H111" s="166">
        <v>0</v>
      </c>
      <c r="I111" s="167">
        <v>0</v>
      </c>
      <c r="J111" s="168">
        <f t="shared" si="22"/>
        <v>0</v>
      </c>
      <c r="K111" s="169">
        <v>3073509</v>
      </c>
      <c r="L111" s="170">
        <v>69755.463013698653</v>
      </c>
      <c r="M111" s="170">
        <v>0</v>
      </c>
      <c r="N111" s="170">
        <v>0</v>
      </c>
      <c r="O111" s="170">
        <v>0</v>
      </c>
      <c r="P111" s="170">
        <v>0</v>
      </c>
      <c r="Q111" s="170">
        <v>0</v>
      </c>
      <c r="R111" s="170">
        <v>0</v>
      </c>
      <c r="S111" s="170">
        <v>0</v>
      </c>
      <c r="T111" s="170">
        <v>0</v>
      </c>
      <c r="U111" s="170">
        <v>0</v>
      </c>
      <c r="V111" s="170">
        <v>0</v>
      </c>
      <c r="W111" s="170">
        <v>0</v>
      </c>
      <c r="X111" s="170">
        <v>0</v>
      </c>
      <c r="Y111" s="170">
        <v>0</v>
      </c>
      <c r="Z111" s="170">
        <v>0</v>
      </c>
      <c r="AA111" s="171">
        <f t="shared" si="23"/>
        <v>69755.463013698653</v>
      </c>
      <c r="AB111" s="169"/>
      <c r="AC111" s="171">
        <f t="shared" si="24"/>
        <v>69755.463013698653</v>
      </c>
      <c r="AF111" s="95"/>
      <c r="AH111" s="28"/>
      <c r="AJ111" s="28"/>
    </row>
    <row r="112" spans="1:36" x14ac:dyDescent="0.25">
      <c r="A112" s="6" t="str">
        <f t="shared" si="21"/>
        <v>Ark Acton Academy</v>
      </c>
      <c r="B112" s="49"/>
      <c r="C112" s="7">
        <v>3074007</v>
      </c>
      <c r="D112" s="6" t="s">
        <v>38</v>
      </c>
      <c r="E112" s="165">
        <v>0</v>
      </c>
      <c r="F112" s="165">
        <v>0</v>
      </c>
      <c r="G112" s="165">
        <v>0</v>
      </c>
      <c r="H112" s="166">
        <v>0</v>
      </c>
      <c r="I112" s="167">
        <v>0</v>
      </c>
      <c r="J112" s="168">
        <f t="shared" si="22"/>
        <v>0</v>
      </c>
      <c r="K112" s="169">
        <v>3072177</v>
      </c>
      <c r="L112" s="170">
        <v>84202.079041095873</v>
      </c>
      <c r="M112" s="170">
        <v>0</v>
      </c>
      <c r="N112" s="170">
        <v>0</v>
      </c>
      <c r="O112" s="170">
        <v>0</v>
      </c>
      <c r="P112" s="170">
        <v>0</v>
      </c>
      <c r="Q112" s="170">
        <v>0</v>
      </c>
      <c r="R112" s="170">
        <v>0</v>
      </c>
      <c r="S112" s="170">
        <v>0</v>
      </c>
      <c r="T112" s="170">
        <v>0</v>
      </c>
      <c r="U112" s="170">
        <v>0</v>
      </c>
      <c r="V112" s="170">
        <v>0</v>
      </c>
      <c r="W112" s="170">
        <v>0</v>
      </c>
      <c r="X112" s="170">
        <v>0</v>
      </c>
      <c r="Y112" s="170">
        <v>0</v>
      </c>
      <c r="Z112" s="170">
        <v>0</v>
      </c>
      <c r="AA112" s="171">
        <f t="shared" si="23"/>
        <v>84202.079041095873</v>
      </c>
      <c r="AB112" s="169"/>
      <c r="AC112" s="171">
        <f t="shared" si="24"/>
        <v>84202.079041095873</v>
      </c>
      <c r="AF112" s="95"/>
      <c r="AH112" s="28"/>
      <c r="AJ112" s="28"/>
    </row>
    <row r="113" spans="1:36" x14ac:dyDescent="0.25">
      <c r="A113" s="6" t="str">
        <f t="shared" si="21"/>
        <v>Dormers Wells High School</v>
      </c>
      <c r="B113" s="49"/>
      <c r="C113" s="7">
        <v>3074030</v>
      </c>
      <c r="D113" s="6" t="s">
        <v>135</v>
      </c>
      <c r="E113" s="165">
        <v>0</v>
      </c>
      <c r="F113" s="165">
        <v>0</v>
      </c>
      <c r="G113" s="165">
        <v>0</v>
      </c>
      <c r="H113" s="166">
        <v>0</v>
      </c>
      <c r="I113" s="167">
        <v>0</v>
      </c>
      <c r="J113" s="168">
        <f t="shared" si="22"/>
        <v>0</v>
      </c>
      <c r="K113" s="169">
        <v>3071103</v>
      </c>
      <c r="L113" s="170">
        <v>237766.91616438355</v>
      </c>
      <c r="M113" s="170">
        <v>0</v>
      </c>
      <c r="N113" s="170">
        <v>21377</v>
      </c>
      <c r="O113" s="170">
        <v>0</v>
      </c>
      <c r="P113" s="170">
        <v>0</v>
      </c>
      <c r="Q113" s="170">
        <v>0</v>
      </c>
      <c r="R113" s="170">
        <v>0</v>
      </c>
      <c r="S113" s="170">
        <v>0</v>
      </c>
      <c r="T113" s="170">
        <v>0</v>
      </c>
      <c r="U113" s="170">
        <v>0</v>
      </c>
      <c r="V113" s="170">
        <v>0</v>
      </c>
      <c r="W113" s="170">
        <v>0</v>
      </c>
      <c r="X113" s="170">
        <v>0</v>
      </c>
      <c r="Y113" s="170">
        <v>0</v>
      </c>
      <c r="Z113" s="170">
        <v>0</v>
      </c>
      <c r="AA113" s="171">
        <f t="shared" si="23"/>
        <v>259143.91616438355</v>
      </c>
      <c r="AB113" s="169"/>
      <c r="AC113" s="171">
        <f t="shared" si="24"/>
        <v>259143.91616438355</v>
      </c>
      <c r="AF113" s="95"/>
      <c r="AH113" s="28"/>
      <c r="AJ113" s="28"/>
    </row>
    <row r="114" spans="1:36" x14ac:dyDescent="0.25">
      <c r="A114" s="6" t="str">
        <f t="shared" si="21"/>
        <v>Featherstone High School</v>
      </c>
      <c r="B114" s="49"/>
      <c r="C114" s="7">
        <v>3074031</v>
      </c>
      <c r="D114" s="6" t="s">
        <v>136</v>
      </c>
      <c r="E114" s="165">
        <v>0</v>
      </c>
      <c r="F114" s="165">
        <v>0</v>
      </c>
      <c r="G114" s="165">
        <v>0</v>
      </c>
      <c r="H114" s="166">
        <v>0</v>
      </c>
      <c r="I114" s="167">
        <v>0</v>
      </c>
      <c r="J114" s="168">
        <f t="shared" si="22"/>
        <v>0</v>
      </c>
      <c r="K114" s="169">
        <v>3072181</v>
      </c>
      <c r="L114" s="170">
        <v>193849.94520547945</v>
      </c>
      <c r="M114" s="170">
        <v>0</v>
      </c>
      <c r="N114" s="170">
        <v>0</v>
      </c>
      <c r="O114" s="170">
        <v>0</v>
      </c>
      <c r="P114" s="170">
        <v>0</v>
      </c>
      <c r="Q114" s="170">
        <v>0</v>
      </c>
      <c r="R114" s="170">
        <v>0</v>
      </c>
      <c r="S114" s="170">
        <v>0</v>
      </c>
      <c r="T114" s="170">
        <v>0</v>
      </c>
      <c r="U114" s="170">
        <v>0</v>
      </c>
      <c r="V114" s="170">
        <v>0</v>
      </c>
      <c r="W114" s="170">
        <v>0</v>
      </c>
      <c r="X114" s="170">
        <v>0</v>
      </c>
      <c r="Y114" s="170">
        <v>0</v>
      </c>
      <c r="Z114" s="170">
        <v>0</v>
      </c>
      <c r="AA114" s="171">
        <f t="shared" si="23"/>
        <v>193849.94520547945</v>
      </c>
      <c r="AB114" s="169"/>
      <c r="AC114" s="171">
        <f t="shared" si="24"/>
        <v>193849.94520547945</v>
      </c>
      <c r="AF114" s="95"/>
      <c r="AH114" s="28"/>
      <c r="AJ114" s="28"/>
    </row>
    <row r="115" spans="1:36" x14ac:dyDescent="0.25">
      <c r="A115" s="6" t="str">
        <f t="shared" si="21"/>
        <v>Twyford Church of England High School</v>
      </c>
      <c r="B115" s="49"/>
      <c r="C115" s="7">
        <v>3074602</v>
      </c>
      <c r="D115" s="6" t="s">
        <v>137</v>
      </c>
      <c r="E115" s="165">
        <v>0</v>
      </c>
      <c r="F115" s="165">
        <v>0</v>
      </c>
      <c r="G115" s="165">
        <v>0</v>
      </c>
      <c r="H115" s="166">
        <v>0</v>
      </c>
      <c r="I115" s="167">
        <v>0</v>
      </c>
      <c r="J115" s="168">
        <f t="shared" si="22"/>
        <v>0</v>
      </c>
      <c r="K115" s="169">
        <v>3072183</v>
      </c>
      <c r="L115" s="170">
        <v>205868.20397260276</v>
      </c>
      <c r="M115" s="170">
        <v>0</v>
      </c>
      <c r="N115" s="170">
        <v>120928</v>
      </c>
      <c r="O115" s="170">
        <v>0</v>
      </c>
      <c r="P115" s="170">
        <v>0</v>
      </c>
      <c r="Q115" s="170">
        <v>0</v>
      </c>
      <c r="R115" s="170">
        <v>0</v>
      </c>
      <c r="S115" s="170">
        <v>0</v>
      </c>
      <c r="T115" s="170">
        <v>0</v>
      </c>
      <c r="U115" s="170">
        <v>0</v>
      </c>
      <c r="V115" s="170">
        <v>0</v>
      </c>
      <c r="W115" s="170">
        <v>0</v>
      </c>
      <c r="X115" s="170">
        <v>0</v>
      </c>
      <c r="Y115" s="170">
        <v>0</v>
      </c>
      <c r="Z115" s="170">
        <v>0</v>
      </c>
      <c r="AA115" s="171">
        <f t="shared" si="23"/>
        <v>326796.20397260273</v>
      </c>
      <c r="AB115" s="169"/>
      <c r="AC115" s="171">
        <f t="shared" si="24"/>
        <v>326796.20397260273</v>
      </c>
      <c r="AF115" s="95"/>
      <c r="AH115" s="28"/>
      <c r="AJ115" s="28"/>
    </row>
    <row r="116" spans="1:36" x14ac:dyDescent="0.25">
      <c r="A116" s="6" t="str">
        <f t="shared" si="21"/>
        <v>Wood End Primary School</v>
      </c>
      <c r="B116" s="49"/>
      <c r="C116" s="7">
        <v>3075200</v>
      </c>
      <c r="D116" s="6" t="s">
        <v>277</v>
      </c>
      <c r="E116" s="165">
        <v>0</v>
      </c>
      <c r="F116" s="165">
        <v>0</v>
      </c>
      <c r="G116" s="165">
        <v>0</v>
      </c>
      <c r="H116" s="166">
        <v>0</v>
      </c>
      <c r="I116" s="167">
        <v>0</v>
      </c>
      <c r="J116" s="168">
        <f t="shared" si="22"/>
        <v>0</v>
      </c>
      <c r="K116" s="169">
        <v>3072059</v>
      </c>
      <c r="L116" s="170">
        <v>61524.947945205458</v>
      </c>
      <c r="M116" s="170">
        <v>0</v>
      </c>
      <c r="N116" s="170">
        <v>0</v>
      </c>
      <c r="O116" s="170">
        <v>0</v>
      </c>
      <c r="P116" s="170">
        <v>83620.049999999988</v>
      </c>
      <c r="Q116" s="170">
        <v>0</v>
      </c>
      <c r="R116" s="170">
        <v>0</v>
      </c>
      <c r="S116" s="170">
        <v>0</v>
      </c>
      <c r="T116" s="170">
        <v>0</v>
      </c>
      <c r="U116" s="170">
        <v>0</v>
      </c>
      <c r="V116" s="170">
        <v>0</v>
      </c>
      <c r="W116" s="170">
        <v>0</v>
      </c>
      <c r="X116" s="170">
        <v>0</v>
      </c>
      <c r="Y116" s="170">
        <v>0</v>
      </c>
      <c r="Z116" s="170">
        <v>0</v>
      </c>
      <c r="AA116" s="171">
        <f t="shared" si="23"/>
        <v>145144.99794520545</v>
      </c>
      <c r="AB116" s="169"/>
      <c r="AC116" s="171">
        <f t="shared" si="24"/>
        <v>145144.99794520545</v>
      </c>
      <c r="AF116" s="95"/>
      <c r="AH116" s="28"/>
      <c r="AJ116" s="28"/>
    </row>
    <row r="117" spans="1:36" x14ac:dyDescent="0.25">
      <c r="A117" s="6" t="str">
        <f t="shared" si="21"/>
        <v>Drayton Manor High School</v>
      </c>
      <c r="B117" s="49"/>
      <c r="C117" s="7">
        <v>3075403</v>
      </c>
      <c r="D117" s="6" t="s">
        <v>138</v>
      </c>
      <c r="E117" s="165">
        <v>0</v>
      </c>
      <c r="F117" s="165">
        <v>0</v>
      </c>
      <c r="G117" s="165">
        <v>0</v>
      </c>
      <c r="H117" s="166">
        <v>0</v>
      </c>
      <c r="I117" s="167">
        <v>0</v>
      </c>
      <c r="J117" s="168">
        <f t="shared" si="22"/>
        <v>0</v>
      </c>
      <c r="K117" s="169">
        <v>3074602</v>
      </c>
      <c r="L117" s="170">
        <v>307699.4773972602</v>
      </c>
      <c r="M117" s="170">
        <v>0</v>
      </c>
      <c r="N117" s="170">
        <v>0</v>
      </c>
      <c r="O117" s="170">
        <v>0</v>
      </c>
      <c r="P117" s="170">
        <v>0</v>
      </c>
      <c r="Q117" s="170">
        <v>0</v>
      </c>
      <c r="R117" s="170">
        <v>0</v>
      </c>
      <c r="S117" s="170">
        <v>0</v>
      </c>
      <c r="T117" s="170">
        <v>0</v>
      </c>
      <c r="U117" s="170">
        <v>0</v>
      </c>
      <c r="V117" s="170">
        <v>0</v>
      </c>
      <c r="W117" s="170">
        <v>0</v>
      </c>
      <c r="X117" s="170">
        <v>0</v>
      </c>
      <c r="Y117" s="170">
        <v>0</v>
      </c>
      <c r="Z117" s="170">
        <v>0</v>
      </c>
      <c r="AA117" s="171">
        <f t="shared" si="23"/>
        <v>307699.4773972602</v>
      </c>
      <c r="AB117" s="169"/>
      <c r="AC117" s="171">
        <f t="shared" si="24"/>
        <v>307699.4773972602</v>
      </c>
      <c r="AF117" s="95"/>
      <c r="AH117" s="28"/>
      <c r="AJ117" s="28"/>
    </row>
    <row r="118" spans="1:36" x14ac:dyDescent="0.25">
      <c r="A118" s="6" t="str">
        <f t="shared" si="21"/>
        <v>Alec Reed Academy</v>
      </c>
      <c r="B118" s="49"/>
      <c r="C118" s="7">
        <v>3076905</v>
      </c>
      <c r="D118" s="6" t="s">
        <v>139</v>
      </c>
      <c r="E118" s="165">
        <v>0</v>
      </c>
      <c r="F118" s="165">
        <v>0</v>
      </c>
      <c r="G118" s="165">
        <v>0</v>
      </c>
      <c r="H118" s="166">
        <v>0</v>
      </c>
      <c r="I118" s="167">
        <v>0</v>
      </c>
      <c r="J118" s="168">
        <f t="shared" si="22"/>
        <v>0</v>
      </c>
      <c r="K118" s="169">
        <v>3072186</v>
      </c>
      <c r="L118" s="170">
        <v>414304.91232876724</v>
      </c>
      <c r="M118" s="170">
        <v>0</v>
      </c>
      <c r="N118" s="170">
        <v>0</v>
      </c>
      <c r="O118" s="170">
        <v>0</v>
      </c>
      <c r="P118" s="170">
        <v>208885.05000000002</v>
      </c>
      <c r="Q118" s="170">
        <v>0</v>
      </c>
      <c r="R118" s="170">
        <v>0</v>
      </c>
      <c r="S118" s="170">
        <v>0</v>
      </c>
      <c r="T118" s="170">
        <v>0</v>
      </c>
      <c r="U118" s="170">
        <v>0</v>
      </c>
      <c r="V118" s="170">
        <v>0</v>
      </c>
      <c r="W118" s="170">
        <v>0</v>
      </c>
      <c r="X118" s="261">
        <v>0</v>
      </c>
      <c r="Y118" s="261">
        <v>0</v>
      </c>
      <c r="Z118" s="261">
        <v>0</v>
      </c>
      <c r="AA118" s="171">
        <f t="shared" si="23"/>
        <v>623189.96232876729</v>
      </c>
      <c r="AB118" s="169"/>
      <c r="AC118" s="171">
        <f t="shared" si="24"/>
        <v>623189.96232876729</v>
      </c>
      <c r="AF118" s="95"/>
      <c r="AH118" s="28"/>
      <c r="AJ118" s="28"/>
    </row>
    <row r="119" spans="1:36" x14ac:dyDescent="0.25">
      <c r="E119" s="172">
        <f>SUM(E102:E118)</f>
        <v>0</v>
      </c>
      <c r="F119" s="172">
        <f t="shared" ref="F119:H119" si="25">SUM(F102:F118)</f>
        <v>0</v>
      </c>
      <c r="G119" s="172">
        <f t="shared" si="25"/>
        <v>0</v>
      </c>
      <c r="H119" s="172">
        <f t="shared" si="25"/>
        <v>0</v>
      </c>
      <c r="I119" s="173">
        <f>SUM(I102:I118)</f>
        <v>0</v>
      </c>
      <c r="J119" s="172">
        <f>SUM(J102:J118)</f>
        <v>0</v>
      </c>
      <c r="K119" s="174"/>
      <c r="L119" s="173">
        <f>SUM(L102:L118)</f>
        <v>2413082.0123287672</v>
      </c>
      <c r="M119" s="173">
        <f t="shared" ref="M119:V119" si="26">SUM(M102:M118)</f>
        <v>0</v>
      </c>
      <c r="N119" s="173">
        <f t="shared" si="26"/>
        <v>321097</v>
      </c>
      <c r="O119" s="173">
        <f t="shared" si="26"/>
        <v>3434.5600000000004</v>
      </c>
      <c r="P119" s="173">
        <f t="shared" si="26"/>
        <v>742047.85000000009</v>
      </c>
      <c r="Q119" s="173">
        <f t="shared" si="26"/>
        <v>0</v>
      </c>
      <c r="R119" s="173">
        <f t="shared" si="26"/>
        <v>0</v>
      </c>
      <c r="S119" s="173">
        <f t="shared" si="26"/>
        <v>0</v>
      </c>
      <c r="T119" s="173">
        <f t="shared" si="26"/>
        <v>0</v>
      </c>
      <c r="U119" s="173">
        <f t="shared" si="26"/>
        <v>0</v>
      </c>
      <c r="V119" s="173">
        <f t="shared" si="26"/>
        <v>0</v>
      </c>
      <c r="W119" s="225">
        <f>SUM(W102:W118)</f>
        <v>0</v>
      </c>
      <c r="X119" s="225">
        <f t="shared" ref="X119:Y119" si="27">SUM(X102:X118)</f>
        <v>0</v>
      </c>
      <c r="Y119" s="225">
        <f t="shared" si="27"/>
        <v>0</v>
      </c>
      <c r="Z119" s="173">
        <f>SUM(Z102:Z118)</f>
        <v>0</v>
      </c>
      <c r="AA119" s="175">
        <f>SUM(AA102:AA118)</f>
        <v>3479661.4223287674</v>
      </c>
      <c r="AB119" s="174"/>
      <c r="AC119" s="175">
        <f>SUM(AC102:AC118)</f>
        <v>3479661.4223287674</v>
      </c>
    </row>
    <row r="121" spans="1:36" s="227" customFormat="1" x14ac:dyDescent="0.25">
      <c r="E121" s="172">
        <f>E119+E91</f>
        <v>189061116.40958273</v>
      </c>
      <c r="F121" s="172">
        <f t="shared" ref="F121:H121" si="28">F119+F91</f>
        <v>-537869.15</v>
      </c>
      <c r="G121" s="172">
        <f t="shared" si="28"/>
        <v>-1011714.6299999998</v>
      </c>
      <c r="H121" s="172">
        <f t="shared" si="28"/>
        <v>187511532.62958276</v>
      </c>
      <c r="I121" s="173">
        <f>I119+I91</f>
        <v>10898000</v>
      </c>
      <c r="J121" s="172">
        <f>J119+J91</f>
        <v>198409532.62958276</v>
      </c>
      <c r="K121" s="174"/>
      <c r="L121" s="173">
        <f>L119+L91</f>
        <v>10156936.727041099</v>
      </c>
      <c r="M121" s="173">
        <f t="shared" ref="M121:V121" si="29">M119+M91</f>
        <v>16759246</v>
      </c>
      <c r="N121" s="173">
        <f t="shared" si="29"/>
        <v>1968661</v>
      </c>
      <c r="O121" s="173">
        <f t="shared" si="29"/>
        <v>73528.17</v>
      </c>
      <c r="P121" s="173">
        <f t="shared" si="29"/>
        <v>8476485.1699999962</v>
      </c>
      <c r="Q121" s="173">
        <f t="shared" si="29"/>
        <v>1245873</v>
      </c>
      <c r="R121" s="173">
        <f t="shared" si="29"/>
        <v>3508163</v>
      </c>
      <c r="S121" s="173">
        <f t="shared" si="29"/>
        <v>10583439.666666668</v>
      </c>
      <c r="T121" s="173">
        <f t="shared" si="29"/>
        <v>153416.66666666666</v>
      </c>
      <c r="U121" s="173">
        <f t="shared" si="29"/>
        <v>74400</v>
      </c>
      <c r="V121" s="173">
        <f t="shared" si="29"/>
        <v>11282930</v>
      </c>
      <c r="W121" s="225">
        <f>W119+W91</f>
        <v>5708570.3731199987</v>
      </c>
      <c r="X121" s="225">
        <f t="shared" ref="X121:Y121" si="30">X119+X91</f>
        <v>1582154.98</v>
      </c>
      <c r="Y121" s="225">
        <f t="shared" si="30"/>
        <v>564212.54</v>
      </c>
      <c r="Z121" s="173">
        <f>Z119+Z91</f>
        <v>9927.7200000000012</v>
      </c>
      <c r="AA121" s="175">
        <f>AA119+AA91</f>
        <v>72147945.013494432</v>
      </c>
      <c r="AB121" s="174"/>
      <c r="AC121" s="175">
        <f>AC119+AC91</f>
        <v>270557477.64307719</v>
      </c>
      <c r="AH121" s="37"/>
      <c r="AJ121" s="37"/>
    </row>
  </sheetData>
  <sortState xmlns:xlrd2="http://schemas.microsoft.com/office/spreadsheetml/2017/richdata2" ref="A13:AC90">
    <sortCondition ref="C13:C90"/>
  </sortState>
  <mergeCells count="3">
    <mergeCell ref="E11:AH11"/>
    <mergeCell ref="D1:G1"/>
    <mergeCell ref="L7:AG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3557-A98F-4685-BB79-6ABEF086D81D}">
  <dimension ref="A1:A5"/>
  <sheetViews>
    <sheetView workbookViewId="0">
      <selection activeCell="E28" sqref="E28"/>
    </sheetView>
  </sheetViews>
  <sheetFormatPr defaultRowHeight="15" x14ac:dyDescent="0.25"/>
  <sheetData>
    <row r="1" spans="1:1" x14ac:dyDescent="0.25">
      <c r="A1" t="s">
        <v>370</v>
      </c>
    </row>
    <row r="3" spans="1:1" x14ac:dyDescent="0.25">
      <c r="A3" t="s">
        <v>371</v>
      </c>
    </row>
    <row r="5" spans="1:1" x14ac:dyDescent="0.25">
      <c r="A5" s="272" t="s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F66B-F8A4-4574-BE73-23160562D7E1}">
  <dimension ref="A1:E28"/>
  <sheetViews>
    <sheetView workbookViewId="0">
      <selection activeCell="E28" sqref="E28"/>
    </sheetView>
  </sheetViews>
  <sheetFormatPr defaultRowHeight="15" x14ac:dyDescent="0.25"/>
  <cols>
    <col min="1" max="1" width="45.140625" bestFit="1" customWidth="1"/>
  </cols>
  <sheetData>
    <row r="1" spans="1:5" x14ac:dyDescent="0.25">
      <c r="A1" s="273" t="s">
        <v>373</v>
      </c>
      <c r="B1" s="274" t="s">
        <v>374</v>
      </c>
      <c r="C1" s="275"/>
      <c r="D1" s="275">
        <v>0</v>
      </c>
      <c r="E1" s="276">
        <v>823.22</v>
      </c>
    </row>
    <row r="2" spans="1:5" x14ac:dyDescent="0.25">
      <c r="A2" s="273" t="s">
        <v>395</v>
      </c>
      <c r="B2" s="274" t="s">
        <v>374</v>
      </c>
      <c r="C2" s="275"/>
      <c r="D2" s="275">
        <v>0</v>
      </c>
      <c r="E2" s="277">
        <v>1710</v>
      </c>
    </row>
    <row r="3" spans="1:5" x14ac:dyDescent="0.25">
      <c r="A3" s="273" t="s">
        <v>383</v>
      </c>
      <c r="B3" s="274" t="s">
        <v>374</v>
      </c>
      <c r="C3" s="275"/>
      <c r="D3" s="275">
        <v>0</v>
      </c>
      <c r="E3" s="277">
        <v>2998.27</v>
      </c>
    </row>
    <row r="4" spans="1:5" x14ac:dyDescent="0.25">
      <c r="A4" s="273" t="s">
        <v>393</v>
      </c>
      <c r="B4" s="274" t="s">
        <v>374</v>
      </c>
      <c r="C4" s="275"/>
      <c r="D4" s="275">
        <v>0</v>
      </c>
      <c r="E4" s="277">
        <v>3058.48</v>
      </c>
    </row>
    <row r="5" spans="1:5" x14ac:dyDescent="0.25">
      <c r="A5" s="273" t="s">
        <v>385</v>
      </c>
      <c r="B5" s="274" t="s">
        <v>374</v>
      </c>
      <c r="C5" s="275"/>
      <c r="D5" s="275">
        <v>0</v>
      </c>
      <c r="E5" s="277">
        <v>3300</v>
      </c>
    </row>
    <row r="6" spans="1:5" x14ac:dyDescent="0.25">
      <c r="A6" s="273" t="s">
        <v>377</v>
      </c>
      <c r="B6" s="274" t="s">
        <v>374</v>
      </c>
      <c r="C6" s="275"/>
      <c r="D6" s="275">
        <v>0</v>
      </c>
      <c r="E6" s="277">
        <v>3960</v>
      </c>
    </row>
    <row r="7" spans="1:5" x14ac:dyDescent="0.25">
      <c r="A7" s="273" t="s">
        <v>379</v>
      </c>
      <c r="B7" s="274" t="s">
        <v>374</v>
      </c>
      <c r="C7" s="275"/>
      <c r="D7" s="275">
        <v>0</v>
      </c>
      <c r="E7" s="277">
        <v>4496.5</v>
      </c>
    </row>
    <row r="8" spans="1:5" x14ac:dyDescent="0.25">
      <c r="A8" s="273" t="s">
        <v>392</v>
      </c>
      <c r="B8" s="274" t="s">
        <v>374</v>
      </c>
      <c r="C8" s="275"/>
      <c r="D8" s="275">
        <v>0</v>
      </c>
      <c r="E8" s="277">
        <v>5464</v>
      </c>
    </row>
    <row r="9" spans="1:5" x14ac:dyDescent="0.25">
      <c r="A9" s="273" t="s">
        <v>394</v>
      </c>
      <c r="B9" s="274" t="s">
        <v>374</v>
      </c>
      <c r="C9" s="275"/>
      <c r="D9" s="275">
        <v>0</v>
      </c>
      <c r="E9" s="277">
        <v>6268.65</v>
      </c>
    </row>
    <row r="10" spans="1:5" x14ac:dyDescent="0.25">
      <c r="A10" s="273" t="s">
        <v>375</v>
      </c>
      <c r="B10" s="274" t="s">
        <v>374</v>
      </c>
      <c r="C10" s="275"/>
      <c r="D10" s="275">
        <v>0</v>
      </c>
      <c r="E10" s="277">
        <v>7161.9</v>
      </c>
    </row>
    <row r="11" spans="1:5" x14ac:dyDescent="0.25">
      <c r="A11" s="273" t="s">
        <v>397</v>
      </c>
      <c r="B11" s="274" t="s">
        <v>374</v>
      </c>
      <c r="C11" s="275"/>
      <c r="D11" s="275">
        <v>0</v>
      </c>
      <c r="E11" s="277">
        <v>8298</v>
      </c>
    </row>
    <row r="12" spans="1:5" x14ac:dyDescent="0.25">
      <c r="A12" s="273" t="s">
        <v>399</v>
      </c>
      <c r="B12" s="274" t="s">
        <v>374</v>
      </c>
      <c r="C12" s="275"/>
      <c r="D12" s="275">
        <v>0</v>
      </c>
      <c r="E12" s="277">
        <v>9390.34</v>
      </c>
    </row>
    <row r="13" spans="1:5" x14ac:dyDescent="0.25">
      <c r="A13" s="273" t="s">
        <v>387</v>
      </c>
      <c r="B13" s="274" t="s">
        <v>374</v>
      </c>
      <c r="C13" s="275"/>
      <c r="D13" s="275">
        <v>0</v>
      </c>
      <c r="E13" s="277">
        <v>10000</v>
      </c>
    </row>
    <row r="14" spans="1:5" x14ac:dyDescent="0.25">
      <c r="A14" s="273" t="s">
        <v>378</v>
      </c>
      <c r="B14" s="274" t="s">
        <v>374</v>
      </c>
      <c r="C14" s="275"/>
      <c r="D14" s="275">
        <v>0</v>
      </c>
      <c r="E14" s="277">
        <v>10593.25</v>
      </c>
    </row>
    <row r="15" spans="1:5" x14ac:dyDescent="0.25">
      <c r="A15" s="273" t="s">
        <v>386</v>
      </c>
      <c r="B15" s="274" t="s">
        <v>374</v>
      </c>
      <c r="C15" s="275"/>
      <c r="D15" s="275">
        <v>0</v>
      </c>
      <c r="E15" s="277">
        <v>10860</v>
      </c>
    </row>
    <row r="16" spans="1:5" x14ac:dyDescent="0.25">
      <c r="A16" s="273" t="s">
        <v>384</v>
      </c>
      <c r="B16" s="274" t="s">
        <v>374</v>
      </c>
      <c r="C16" s="275"/>
      <c r="D16" s="275">
        <v>0</v>
      </c>
      <c r="E16" s="277">
        <v>12102.14</v>
      </c>
    </row>
    <row r="17" spans="1:5" x14ac:dyDescent="0.25">
      <c r="A17" s="273" t="s">
        <v>390</v>
      </c>
      <c r="B17" s="274" t="s">
        <v>374</v>
      </c>
      <c r="C17" s="275"/>
      <c r="D17" s="275">
        <v>0</v>
      </c>
      <c r="E17" s="277">
        <v>12757</v>
      </c>
    </row>
    <row r="18" spans="1:5" x14ac:dyDescent="0.25">
      <c r="A18" s="273" t="s">
        <v>380</v>
      </c>
      <c r="B18" s="274" t="s">
        <v>374</v>
      </c>
      <c r="C18" s="275"/>
      <c r="D18" s="275">
        <v>0</v>
      </c>
      <c r="E18" s="277">
        <v>15750</v>
      </c>
    </row>
    <row r="19" spans="1:5" x14ac:dyDescent="0.25">
      <c r="A19" s="273" t="s">
        <v>388</v>
      </c>
      <c r="B19" s="274" t="s">
        <v>374</v>
      </c>
      <c r="C19" s="275"/>
      <c r="D19" s="275">
        <v>0</v>
      </c>
      <c r="E19" s="277">
        <v>17609.849999999999</v>
      </c>
    </row>
    <row r="20" spans="1:5" x14ac:dyDescent="0.25">
      <c r="A20" s="273" t="s">
        <v>398</v>
      </c>
      <c r="B20" s="274" t="s">
        <v>374</v>
      </c>
      <c r="C20" s="275"/>
      <c r="D20" s="275">
        <v>0</v>
      </c>
      <c r="E20" s="277">
        <v>18871.169999999998</v>
      </c>
    </row>
    <row r="21" spans="1:5" x14ac:dyDescent="0.25">
      <c r="A21" s="273" t="s">
        <v>396</v>
      </c>
      <c r="B21" s="274" t="s">
        <v>374</v>
      </c>
      <c r="C21" s="275"/>
      <c r="D21" s="275">
        <v>0</v>
      </c>
      <c r="E21" s="277">
        <v>20419</v>
      </c>
    </row>
    <row r="22" spans="1:5" x14ac:dyDescent="0.25">
      <c r="A22" s="273" t="s">
        <v>382</v>
      </c>
      <c r="B22" s="274" t="s">
        <v>374</v>
      </c>
      <c r="C22" s="275"/>
      <c r="D22" s="275">
        <v>0</v>
      </c>
      <c r="E22" s="277">
        <v>20486.11</v>
      </c>
    </row>
    <row r="23" spans="1:5" x14ac:dyDescent="0.25">
      <c r="A23" s="273" t="s">
        <v>381</v>
      </c>
      <c r="B23" s="274" t="s">
        <v>374</v>
      </c>
      <c r="C23" s="275"/>
      <c r="D23" s="275">
        <v>0</v>
      </c>
      <c r="E23" s="277">
        <v>20619.78</v>
      </c>
    </row>
    <row r="24" spans="1:5" x14ac:dyDescent="0.25">
      <c r="A24" s="273" t="s">
        <v>376</v>
      </c>
      <c r="B24" s="274" t="s">
        <v>374</v>
      </c>
      <c r="C24" s="275"/>
      <c r="D24" s="275">
        <v>0</v>
      </c>
      <c r="E24" s="277">
        <v>22078.58</v>
      </c>
    </row>
    <row r="25" spans="1:5" x14ac:dyDescent="0.25">
      <c r="A25" s="273" t="s">
        <v>391</v>
      </c>
      <c r="B25" s="274" t="s">
        <v>374</v>
      </c>
      <c r="C25" s="275"/>
      <c r="D25" s="275">
        <v>0</v>
      </c>
      <c r="E25" s="277">
        <v>23905.1</v>
      </c>
    </row>
    <row r="26" spans="1:5" x14ac:dyDescent="0.25">
      <c r="A26" s="273" t="s">
        <v>389</v>
      </c>
      <c r="B26" s="274" t="s">
        <v>374</v>
      </c>
      <c r="C26" s="275"/>
      <c r="D26" s="275">
        <v>0</v>
      </c>
      <c r="E26" s="277">
        <v>50114</v>
      </c>
    </row>
    <row r="28" spans="1:5" x14ac:dyDescent="0.25">
      <c r="E28" s="278" t="s">
        <v>400</v>
      </c>
    </row>
  </sheetData>
  <sortState xmlns:xlrd2="http://schemas.microsoft.com/office/spreadsheetml/2017/richdata2" ref="A1:E26">
    <sortCondition ref="E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CFEC-9EC2-4A4A-8EF6-E25AEDF715C5}">
  <dimension ref="A1:N133"/>
  <sheetViews>
    <sheetView workbookViewId="0"/>
  </sheetViews>
  <sheetFormatPr defaultRowHeight="15" x14ac:dyDescent="0.25"/>
  <cols>
    <col min="3" max="3" width="46.5703125" customWidth="1"/>
    <col min="4" max="8" width="15.85546875" style="193" customWidth="1"/>
    <col min="9" max="9" width="2.7109375" style="193" customWidth="1"/>
    <col min="10" max="10" width="15.85546875" style="193" customWidth="1"/>
    <col min="11" max="11" width="11" customWidth="1"/>
    <col min="12" max="12" width="12.7109375" customWidth="1"/>
    <col min="13" max="13" width="1.5703125" customWidth="1"/>
    <col min="14" max="14" width="14" customWidth="1"/>
  </cols>
  <sheetData>
    <row r="1" spans="1:14" x14ac:dyDescent="0.25">
      <c r="H1" s="193" t="s">
        <v>309</v>
      </c>
      <c r="J1" s="195"/>
    </row>
    <row r="2" spans="1:14" x14ac:dyDescent="0.25">
      <c r="J2" s="195"/>
    </row>
    <row r="3" spans="1:14" x14ac:dyDescent="0.25">
      <c r="J3" s="195"/>
    </row>
    <row r="5" spans="1:14" x14ac:dyDescent="0.25">
      <c r="J5" s="231"/>
    </row>
    <row r="6" spans="1:14" x14ac:dyDescent="0.25">
      <c r="J6" s="195"/>
    </row>
    <row r="7" spans="1:14" x14ac:dyDescent="0.25">
      <c r="J7" s="232"/>
    </row>
    <row r="8" spans="1:14" x14ac:dyDescent="0.25">
      <c r="J8" s="232"/>
    </row>
    <row r="9" spans="1:14" ht="120" x14ac:dyDescent="0.25">
      <c r="A9" s="233" t="s">
        <v>310</v>
      </c>
      <c r="B9" s="233" t="s">
        <v>311</v>
      </c>
      <c r="C9" s="233" t="s">
        <v>3</v>
      </c>
      <c r="D9" s="234" t="s">
        <v>312</v>
      </c>
      <c r="E9" s="234" t="s">
        <v>49</v>
      </c>
      <c r="F9" s="234" t="s">
        <v>50</v>
      </c>
      <c r="G9" s="234" t="s">
        <v>313</v>
      </c>
      <c r="H9" s="234" t="s">
        <v>314</v>
      </c>
      <c r="J9" s="234" t="s">
        <v>315</v>
      </c>
      <c r="K9" s="234" t="s">
        <v>316</v>
      </c>
      <c r="L9" s="234" t="s">
        <v>317</v>
      </c>
      <c r="N9" s="234" t="s">
        <v>318</v>
      </c>
    </row>
    <row r="10" spans="1:14" x14ac:dyDescent="0.25">
      <c r="A10" s="296" t="s">
        <v>319</v>
      </c>
      <c r="B10" s="297"/>
      <c r="C10" s="298"/>
      <c r="D10" s="235">
        <f>SUM(D$11:D$76)</f>
        <v>192455830.73958281</v>
      </c>
      <c r="E10" s="235">
        <f>SUM(E$11:E$76)</f>
        <v>-537869.15</v>
      </c>
      <c r="F10" s="235">
        <f>SUM(F$11:F$76)</f>
        <v>-1011714.6299999998</v>
      </c>
      <c r="G10" s="235">
        <f>SUM(G$11:G$76)</f>
        <v>-3394714.33</v>
      </c>
      <c r="H10" s="235">
        <f>SUM(H$11:H$76)</f>
        <v>187511532.62958276</v>
      </c>
      <c r="I10" s="236"/>
      <c r="J10" s="235">
        <f>SUM(J$11:J$76)</f>
        <v>189061116.40958273</v>
      </c>
      <c r="K10" s="235">
        <v>-537869.15</v>
      </c>
      <c r="L10" s="235">
        <v>-1011714.6299999998</v>
      </c>
      <c r="M10" s="237"/>
      <c r="N10" s="235">
        <f>SUM(N$11:N$76)</f>
        <v>187511532.62958276</v>
      </c>
    </row>
    <row r="11" spans="1:14" x14ac:dyDescent="0.25">
      <c r="A11" s="238">
        <v>137569</v>
      </c>
      <c r="B11" s="238">
        <v>3072000</v>
      </c>
      <c r="C11" s="239" t="s">
        <v>54</v>
      </c>
      <c r="D11" s="240">
        <v>1986961.6796214276</v>
      </c>
      <c r="E11" s="241">
        <v>-7514.0999999999995</v>
      </c>
      <c r="F11" s="241">
        <v>-12299.94</v>
      </c>
      <c r="G11" s="241">
        <v>-9292.7999999999993</v>
      </c>
      <c r="H11" s="241">
        <f t="shared" ref="H11:H42" si="0">SUM(D11:G11)</f>
        <v>1957854.8396214275</v>
      </c>
      <c r="I11" s="242"/>
      <c r="J11" s="240">
        <f t="shared" ref="J11:J42" si="1">D11+G11</f>
        <v>1977668.8796214275</v>
      </c>
      <c r="K11" s="237">
        <v>-7514.1</v>
      </c>
      <c r="L11" s="237">
        <v>-12299.94</v>
      </c>
      <c r="M11" s="237"/>
      <c r="N11" s="237">
        <f t="shared" ref="N11:N42" si="2">J11+K11+L11</f>
        <v>1957854.8396214275</v>
      </c>
    </row>
    <row r="12" spans="1:14" x14ac:dyDescent="0.25">
      <c r="A12" s="238">
        <v>101866</v>
      </c>
      <c r="B12" s="238">
        <v>3072005</v>
      </c>
      <c r="C12" s="239" t="s">
        <v>55</v>
      </c>
      <c r="D12" s="240">
        <v>1139865.3928519306</v>
      </c>
      <c r="E12" s="241">
        <v>-3266.9999999999995</v>
      </c>
      <c r="F12" s="241">
        <v>-5347.8</v>
      </c>
      <c r="G12" s="241">
        <v>-47256</v>
      </c>
      <c r="H12" s="241">
        <f t="shared" si="0"/>
        <v>1083994.5928519305</v>
      </c>
      <c r="I12" s="242"/>
      <c r="J12" s="240">
        <f t="shared" si="1"/>
        <v>1092609.3928519306</v>
      </c>
      <c r="K12" s="237">
        <v>-3267</v>
      </c>
      <c r="L12" s="237">
        <v>-5347.8</v>
      </c>
      <c r="M12" s="237"/>
      <c r="N12" s="237">
        <f t="shared" si="2"/>
        <v>1083994.5928519305</v>
      </c>
    </row>
    <row r="13" spans="1:14" x14ac:dyDescent="0.25">
      <c r="A13" s="238">
        <v>101867</v>
      </c>
      <c r="B13" s="238">
        <v>3072006</v>
      </c>
      <c r="C13" s="239" t="s">
        <v>56</v>
      </c>
      <c r="D13" s="240">
        <v>972164.82613747008</v>
      </c>
      <c r="E13" s="241">
        <v>-2649.8999999999996</v>
      </c>
      <c r="F13" s="241">
        <v>-4337.66</v>
      </c>
      <c r="G13" s="241">
        <v>-65330.64</v>
      </c>
      <c r="H13" s="241">
        <f t="shared" si="0"/>
        <v>899846.62613747001</v>
      </c>
      <c r="I13" s="242"/>
      <c r="J13" s="240">
        <f t="shared" si="1"/>
        <v>906834.18613747007</v>
      </c>
      <c r="K13" s="237">
        <v>-2649.9</v>
      </c>
      <c r="L13" s="237">
        <v>-4337.66</v>
      </c>
      <c r="M13" s="237"/>
      <c r="N13" s="237">
        <f t="shared" si="2"/>
        <v>899846.62613747001</v>
      </c>
    </row>
    <row r="14" spans="1:14" x14ac:dyDescent="0.25">
      <c r="A14" s="238">
        <v>101868</v>
      </c>
      <c r="B14" s="238">
        <v>3072022</v>
      </c>
      <c r="C14" s="239" t="s">
        <v>57</v>
      </c>
      <c r="D14" s="240">
        <v>1197907.3411772931</v>
      </c>
      <c r="E14" s="241">
        <v>-3539.2499999999995</v>
      </c>
      <c r="F14" s="241">
        <v>-5793.45</v>
      </c>
      <c r="G14" s="241">
        <v>-27940</v>
      </c>
      <c r="H14" s="241">
        <f t="shared" si="0"/>
        <v>1160634.6411772931</v>
      </c>
      <c r="I14" s="242"/>
      <c r="J14" s="240">
        <f t="shared" si="1"/>
        <v>1169967.3411772931</v>
      </c>
      <c r="K14" s="237">
        <v>-3539.25</v>
      </c>
      <c r="L14" s="237">
        <v>-5793.45</v>
      </c>
      <c r="M14" s="237"/>
      <c r="N14" s="237">
        <f t="shared" si="2"/>
        <v>1160634.6411772931</v>
      </c>
    </row>
    <row r="15" spans="1:14" x14ac:dyDescent="0.25">
      <c r="A15" s="238">
        <v>101869</v>
      </c>
      <c r="B15" s="238">
        <v>3072033</v>
      </c>
      <c r="C15" s="239" t="s">
        <v>58</v>
      </c>
      <c r="D15" s="240">
        <v>1775050.5914054946</v>
      </c>
      <c r="E15" s="241">
        <v>-5862.45</v>
      </c>
      <c r="F15" s="241">
        <v>-9596.33</v>
      </c>
      <c r="G15" s="241">
        <v>-58080</v>
      </c>
      <c r="H15" s="241">
        <f t="shared" si="0"/>
        <v>1701511.8114054946</v>
      </c>
      <c r="I15" s="242"/>
      <c r="J15" s="240">
        <f t="shared" si="1"/>
        <v>1716970.5914054946</v>
      </c>
      <c r="K15" s="237">
        <v>-5862.45</v>
      </c>
      <c r="L15" s="237">
        <v>-9596.33</v>
      </c>
      <c r="M15" s="237"/>
      <c r="N15" s="237">
        <f t="shared" si="2"/>
        <v>1701511.8114054946</v>
      </c>
    </row>
    <row r="16" spans="1:14" x14ac:dyDescent="0.25">
      <c r="A16" s="238">
        <v>101870</v>
      </c>
      <c r="B16" s="238">
        <v>3072046</v>
      </c>
      <c r="C16" s="239" t="s">
        <v>59</v>
      </c>
      <c r="D16" s="240">
        <v>2853859.5149425832</v>
      </c>
      <c r="E16" s="241">
        <v>-10781.099999999999</v>
      </c>
      <c r="F16" s="241">
        <v>-17647.740000000002</v>
      </c>
      <c r="G16" s="241">
        <v>-78144</v>
      </c>
      <c r="H16" s="241">
        <f t="shared" si="0"/>
        <v>2747286.6749425828</v>
      </c>
      <c r="I16" s="242"/>
      <c r="J16" s="240">
        <f t="shared" si="1"/>
        <v>2775715.5149425832</v>
      </c>
      <c r="K16" s="237">
        <v>-10781.099999999999</v>
      </c>
      <c r="L16" s="237">
        <v>-17647.740000000002</v>
      </c>
      <c r="M16" s="237"/>
      <c r="N16" s="237">
        <f t="shared" si="2"/>
        <v>2747286.6749425828</v>
      </c>
    </row>
    <row r="17" spans="1:14" x14ac:dyDescent="0.25">
      <c r="A17" s="238">
        <v>101873</v>
      </c>
      <c r="B17" s="238">
        <v>3072058</v>
      </c>
      <c r="C17" s="239" t="s">
        <v>60</v>
      </c>
      <c r="D17" s="240">
        <v>2325846.6879604836</v>
      </c>
      <c r="E17" s="241">
        <v>-7241.8499999999995</v>
      </c>
      <c r="F17" s="241">
        <v>-11854.29</v>
      </c>
      <c r="G17" s="241">
        <v>-106656</v>
      </c>
      <c r="H17" s="241">
        <f t="shared" si="0"/>
        <v>2200094.5479604835</v>
      </c>
      <c r="I17" s="242"/>
      <c r="J17" s="240">
        <f t="shared" si="1"/>
        <v>2219190.6879604836</v>
      </c>
      <c r="K17" s="237">
        <v>-7241.8499999999995</v>
      </c>
      <c r="L17" s="237">
        <v>-11854.29</v>
      </c>
      <c r="M17" s="237"/>
      <c r="N17" s="237">
        <f t="shared" si="2"/>
        <v>2200094.5479604835</v>
      </c>
    </row>
    <row r="18" spans="1:14" x14ac:dyDescent="0.25">
      <c r="A18" s="238">
        <v>101874</v>
      </c>
      <c r="B18" s="238">
        <v>3072059</v>
      </c>
      <c r="C18" s="239" t="s">
        <v>61</v>
      </c>
      <c r="D18" s="240">
        <v>2222019.0294592064</v>
      </c>
      <c r="E18" s="241">
        <v>-8076.7499999999991</v>
      </c>
      <c r="F18" s="241">
        <v>-13220.95</v>
      </c>
      <c r="G18" s="241">
        <v>-55968</v>
      </c>
      <c r="H18" s="241">
        <f t="shared" si="0"/>
        <v>2144753.3294592062</v>
      </c>
      <c r="I18" s="242"/>
      <c r="J18" s="240">
        <f t="shared" si="1"/>
        <v>2166051.0294592064</v>
      </c>
      <c r="K18" s="237">
        <v>-8076.7499999999991</v>
      </c>
      <c r="L18" s="237">
        <v>-13220.95</v>
      </c>
      <c r="M18" s="237"/>
      <c r="N18" s="237">
        <f t="shared" si="2"/>
        <v>2144753.3294592062</v>
      </c>
    </row>
    <row r="19" spans="1:14" x14ac:dyDescent="0.25">
      <c r="A19" s="238">
        <v>101875</v>
      </c>
      <c r="B19" s="238">
        <v>3072067</v>
      </c>
      <c r="C19" s="239" t="s">
        <v>62</v>
      </c>
      <c r="D19" s="240">
        <v>2207115.0301718409</v>
      </c>
      <c r="E19" s="241">
        <v>-7314.45</v>
      </c>
      <c r="F19" s="241">
        <v>-11973.130000000001</v>
      </c>
      <c r="G19" s="241">
        <v>-69168</v>
      </c>
      <c r="H19" s="241">
        <f t="shared" si="0"/>
        <v>2118659.4501718408</v>
      </c>
      <c r="I19" s="242"/>
      <c r="J19" s="240">
        <f t="shared" si="1"/>
        <v>2137947.0301718409</v>
      </c>
      <c r="K19" s="237">
        <v>-7314.45</v>
      </c>
      <c r="L19" s="237">
        <v>-11973.13</v>
      </c>
      <c r="M19" s="237"/>
      <c r="N19" s="237">
        <f t="shared" si="2"/>
        <v>2118659.4501718408</v>
      </c>
    </row>
    <row r="20" spans="1:14" x14ac:dyDescent="0.25">
      <c r="A20" s="238">
        <v>101876</v>
      </c>
      <c r="B20" s="238">
        <v>3072071</v>
      </c>
      <c r="C20" s="239" t="s">
        <v>63</v>
      </c>
      <c r="D20" s="240">
        <v>3267633.1891676416</v>
      </c>
      <c r="E20" s="241">
        <v>-11234.849999999999</v>
      </c>
      <c r="F20" s="241">
        <v>-18390.490000000002</v>
      </c>
      <c r="G20" s="241">
        <v>-50160</v>
      </c>
      <c r="H20" s="241">
        <f t="shared" si="0"/>
        <v>3187847.8491676413</v>
      </c>
      <c r="I20" s="242"/>
      <c r="J20" s="240">
        <f t="shared" si="1"/>
        <v>3217473.1891676416</v>
      </c>
      <c r="K20" s="237">
        <v>-11234.849999999999</v>
      </c>
      <c r="L20" s="237">
        <v>-18390.490000000002</v>
      </c>
      <c r="M20" s="237"/>
      <c r="N20" s="237">
        <f t="shared" si="2"/>
        <v>3187847.8491676413</v>
      </c>
    </row>
    <row r="21" spans="1:14" x14ac:dyDescent="0.25">
      <c r="A21" s="238">
        <v>101877</v>
      </c>
      <c r="B21" s="238">
        <v>3072076</v>
      </c>
      <c r="C21" s="239" t="s">
        <v>64</v>
      </c>
      <c r="D21" s="240">
        <v>2112944.1717509627</v>
      </c>
      <c r="E21" s="241">
        <v>-6987.7499999999991</v>
      </c>
      <c r="F21" s="241">
        <v>-11438.35</v>
      </c>
      <c r="G21" s="241">
        <v>-93984</v>
      </c>
      <c r="H21" s="241">
        <f t="shared" si="0"/>
        <v>2000534.0717509626</v>
      </c>
      <c r="I21" s="242"/>
      <c r="J21" s="240">
        <f t="shared" si="1"/>
        <v>2018960.1717509627</v>
      </c>
      <c r="K21" s="237">
        <v>-6987.75</v>
      </c>
      <c r="L21" s="237">
        <v>-11438.35</v>
      </c>
      <c r="M21" s="237"/>
      <c r="N21" s="237">
        <f t="shared" si="2"/>
        <v>2000534.0717509626</v>
      </c>
    </row>
    <row r="22" spans="1:14" x14ac:dyDescent="0.25">
      <c r="A22" s="238">
        <v>101878</v>
      </c>
      <c r="B22" s="238">
        <v>3072083</v>
      </c>
      <c r="C22" s="239" t="s">
        <v>65</v>
      </c>
      <c r="D22" s="240">
        <v>2132128.547251849</v>
      </c>
      <c r="E22" s="241">
        <v>-7169.2499999999991</v>
      </c>
      <c r="F22" s="241">
        <v>-11735.45</v>
      </c>
      <c r="G22" s="241">
        <v>-32766</v>
      </c>
      <c r="H22" s="241">
        <f t="shared" si="0"/>
        <v>2080457.8472518488</v>
      </c>
      <c r="I22" s="242"/>
      <c r="J22" s="240">
        <f t="shared" si="1"/>
        <v>2099362.547251849</v>
      </c>
      <c r="K22" s="237">
        <v>-7169.25</v>
      </c>
      <c r="L22" s="237">
        <v>-11735.45</v>
      </c>
      <c r="M22" s="237"/>
      <c r="N22" s="237">
        <f t="shared" si="2"/>
        <v>2080457.847251849</v>
      </c>
    </row>
    <row r="23" spans="1:14" x14ac:dyDescent="0.25">
      <c r="A23" s="238">
        <v>101879</v>
      </c>
      <c r="B23" s="238">
        <v>3072088</v>
      </c>
      <c r="C23" s="239" t="s">
        <v>66</v>
      </c>
      <c r="D23" s="240">
        <v>2087541.8388510635</v>
      </c>
      <c r="E23" s="241">
        <v>-6896.9999999999991</v>
      </c>
      <c r="F23" s="241">
        <v>-11289.800000000001</v>
      </c>
      <c r="G23" s="241">
        <v>-35306</v>
      </c>
      <c r="H23" s="241">
        <f t="shared" si="0"/>
        <v>2034049.0388510635</v>
      </c>
      <c r="I23" s="242"/>
      <c r="J23" s="240">
        <f t="shared" si="1"/>
        <v>2052235.8388510635</v>
      </c>
      <c r="K23" s="237">
        <v>-6897.0000000000009</v>
      </c>
      <c r="L23" s="237">
        <v>-11289.8</v>
      </c>
      <c r="M23" s="237"/>
      <c r="N23" s="237">
        <f t="shared" si="2"/>
        <v>2034049.0388510635</v>
      </c>
    </row>
    <row r="24" spans="1:14" x14ac:dyDescent="0.25">
      <c r="A24" s="238">
        <v>101880</v>
      </c>
      <c r="B24" s="238">
        <v>3072092</v>
      </c>
      <c r="C24" s="239" t="s">
        <v>67</v>
      </c>
      <c r="D24" s="240">
        <v>1865505.8660041704</v>
      </c>
      <c r="E24" s="241">
        <v>-5699.0999999999995</v>
      </c>
      <c r="F24" s="241">
        <v>-9328.94</v>
      </c>
      <c r="G24" s="241">
        <v>-69696</v>
      </c>
      <c r="H24" s="241">
        <f t="shared" si="0"/>
        <v>1780781.8260041703</v>
      </c>
      <c r="I24" s="242"/>
      <c r="J24" s="240">
        <f t="shared" si="1"/>
        <v>1795809.8660041704</v>
      </c>
      <c r="K24" s="237">
        <v>-5699.1</v>
      </c>
      <c r="L24" s="237">
        <v>-9328.94</v>
      </c>
      <c r="M24" s="237"/>
      <c r="N24" s="237">
        <f t="shared" si="2"/>
        <v>1780781.8260041703</v>
      </c>
    </row>
    <row r="25" spans="1:14" x14ac:dyDescent="0.25">
      <c r="A25" s="238">
        <v>101881</v>
      </c>
      <c r="B25" s="238">
        <v>3072094</v>
      </c>
      <c r="C25" s="239" t="s">
        <v>68</v>
      </c>
      <c r="D25" s="240">
        <v>1861447.6723663723</v>
      </c>
      <c r="E25" s="241">
        <v>-5880.5999999999995</v>
      </c>
      <c r="F25" s="241">
        <v>-9626.0400000000009</v>
      </c>
      <c r="G25" s="241">
        <v>-33274</v>
      </c>
      <c r="H25" s="241">
        <f t="shared" si="0"/>
        <v>1812667.0323663722</v>
      </c>
      <c r="I25" s="242"/>
      <c r="J25" s="240">
        <f t="shared" si="1"/>
        <v>1828173.6723663723</v>
      </c>
      <c r="K25" s="237">
        <v>-5880.5999999999995</v>
      </c>
      <c r="L25" s="237">
        <v>-9626.0400000000009</v>
      </c>
      <c r="M25" s="237"/>
      <c r="N25" s="237">
        <f t="shared" si="2"/>
        <v>1812667.0323663722</v>
      </c>
    </row>
    <row r="26" spans="1:14" x14ac:dyDescent="0.25">
      <c r="A26" s="238">
        <v>101884</v>
      </c>
      <c r="B26" s="238">
        <v>3072115</v>
      </c>
      <c r="C26" s="239" t="s">
        <v>69</v>
      </c>
      <c r="D26" s="240">
        <v>2060824.9060308114</v>
      </c>
      <c r="E26" s="241">
        <v>-7223.7</v>
      </c>
      <c r="F26" s="241">
        <v>-11824.58</v>
      </c>
      <c r="G26" s="241">
        <v>-37232</v>
      </c>
      <c r="H26" s="241">
        <f t="shared" si="0"/>
        <v>2004544.6260308113</v>
      </c>
      <c r="I26" s="242"/>
      <c r="J26" s="240">
        <f t="shared" si="1"/>
        <v>2023592.9060308114</v>
      </c>
      <c r="K26" s="237">
        <v>-7223.7</v>
      </c>
      <c r="L26" s="237">
        <v>-11824.58</v>
      </c>
      <c r="M26" s="237"/>
      <c r="N26" s="237">
        <f t="shared" si="2"/>
        <v>2004544.6260308113</v>
      </c>
    </row>
    <row r="27" spans="1:14" x14ac:dyDescent="0.25">
      <c r="A27" s="238">
        <v>101885</v>
      </c>
      <c r="B27" s="238">
        <v>3072121</v>
      </c>
      <c r="C27" s="239" t="s">
        <v>70</v>
      </c>
      <c r="D27" s="240">
        <v>3226793.6608199752</v>
      </c>
      <c r="E27" s="241">
        <v>-10835.55</v>
      </c>
      <c r="F27" s="241">
        <v>-17736.87</v>
      </c>
      <c r="G27" s="241">
        <v>-92928</v>
      </c>
      <c r="H27" s="241">
        <f t="shared" si="0"/>
        <v>3105293.2408199753</v>
      </c>
      <c r="I27" s="242"/>
      <c r="J27" s="240">
        <f t="shared" si="1"/>
        <v>3133865.6608199752</v>
      </c>
      <c r="K27" s="237">
        <v>-10835.55</v>
      </c>
      <c r="L27" s="237">
        <v>-17736.87</v>
      </c>
      <c r="M27" s="237"/>
      <c r="N27" s="237">
        <f t="shared" si="2"/>
        <v>3105293.2408199753</v>
      </c>
    </row>
    <row r="28" spans="1:14" x14ac:dyDescent="0.25">
      <c r="A28" s="238">
        <v>101886</v>
      </c>
      <c r="B28" s="238">
        <v>3072125</v>
      </c>
      <c r="C28" s="239" t="s">
        <v>71</v>
      </c>
      <c r="D28" s="240">
        <v>3058420.9598576054</v>
      </c>
      <c r="E28" s="241">
        <v>-10672.199999999999</v>
      </c>
      <c r="F28" s="241">
        <v>-17469.48</v>
      </c>
      <c r="G28" s="241">
        <v>-72864</v>
      </c>
      <c r="H28" s="241">
        <f t="shared" si="0"/>
        <v>2957415.2798576052</v>
      </c>
      <c r="I28" s="242"/>
      <c r="J28" s="240">
        <f t="shared" si="1"/>
        <v>2985556.9598576054</v>
      </c>
      <c r="K28" s="237">
        <v>-10672.200000000003</v>
      </c>
      <c r="L28" s="237">
        <v>-17469.48</v>
      </c>
      <c r="M28" s="237"/>
      <c r="N28" s="237">
        <f t="shared" si="2"/>
        <v>2957415.2798576052</v>
      </c>
    </row>
    <row r="29" spans="1:14" x14ac:dyDescent="0.25">
      <c r="A29" s="238">
        <v>101887</v>
      </c>
      <c r="B29" s="238">
        <v>3072150</v>
      </c>
      <c r="C29" s="239" t="s">
        <v>72</v>
      </c>
      <c r="D29" s="240">
        <v>2158133.5976393442</v>
      </c>
      <c r="E29" s="241">
        <v>-7387.0499999999993</v>
      </c>
      <c r="F29" s="241">
        <v>-12091.970000000001</v>
      </c>
      <c r="G29" s="241">
        <v>-45408</v>
      </c>
      <c r="H29" s="241">
        <f t="shared" si="0"/>
        <v>2093246.5776393441</v>
      </c>
      <c r="I29" s="242"/>
      <c r="J29" s="240">
        <f t="shared" si="1"/>
        <v>2112725.5976393442</v>
      </c>
      <c r="K29" s="237">
        <v>-7387.05</v>
      </c>
      <c r="L29" s="237">
        <v>-12091.97</v>
      </c>
      <c r="M29" s="237"/>
      <c r="N29" s="237">
        <f t="shared" si="2"/>
        <v>2093246.5776393444</v>
      </c>
    </row>
    <row r="30" spans="1:14" x14ac:dyDescent="0.25">
      <c r="A30" s="238">
        <v>101888</v>
      </c>
      <c r="B30" s="238">
        <v>3072151</v>
      </c>
      <c r="C30" s="239" t="s">
        <v>73</v>
      </c>
      <c r="D30" s="240">
        <v>2191983.7543702954</v>
      </c>
      <c r="E30" s="241">
        <v>-8022.2999999999993</v>
      </c>
      <c r="F30" s="241">
        <v>-13131.82</v>
      </c>
      <c r="G30" s="241">
        <v>-72864</v>
      </c>
      <c r="H30" s="241">
        <f t="shared" si="0"/>
        <v>2097965.6343702958</v>
      </c>
      <c r="I30" s="242"/>
      <c r="J30" s="240">
        <f t="shared" si="1"/>
        <v>2119119.7543702954</v>
      </c>
      <c r="K30" s="237">
        <v>-8022.2999999999993</v>
      </c>
      <c r="L30" s="237">
        <v>-13131.82</v>
      </c>
      <c r="M30" s="237"/>
      <c r="N30" s="237">
        <f t="shared" si="2"/>
        <v>2097965.6343702958</v>
      </c>
    </row>
    <row r="31" spans="1:14" x14ac:dyDescent="0.25">
      <c r="A31" s="238">
        <v>101889</v>
      </c>
      <c r="B31" s="238">
        <v>3072153</v>
      </c>
      <c r="C31" s="239" t="s">
        <v>74</v>
      </c>
      <c r="D31" s="240">
        <v>2084509.7530631293</v>
      </c>
      <c r="E31" s="241">
        <v>-6642.9</v>
      </c>
      <c r="F31" s="241">
        <v>-10873.86</v>
      </c>
      <c r="G31" s="241">
        <v>-39336</v>
      </c>
      <c r="H31" s="241">
        <f t="shared" si="0"/>
        <v>2027656.9930631293</v>
      </c>
      <c r="I31" s="242"/>
      <c r="J31" s="240">
        <f t="shared" si="1"/>
        <v>2045173.7530631293</v>
      </c>
      <c r="K31" s="237">
        <v>-6642.9</v>
      </c>
      <c r="L31" s="237">
        <v>-10873.86</v>
      </c>
      <c r="M31" s="237"/>
      <c r="N31" s="237">
        <f t="shared" si="2"/>
        <v>2027656.9930631293</v>
      </c>
    </row>
    <row r="32" spans="1:14" x14ac:dyDescent="0.25">
      <c r="A32" s="238">
        <v>101890</v>
      </c>
      <c r="B32" s="238">
        <v>3072154</v>
      </c>
      <c r="C32" s="239" t="s">
        <v>75</v>
      </c>
      <c r="D32" s="240">
        <v>1697591.1159095443</v>
      </c>
      <c r="E32" s="241">
        <v>-6207.2999999999993</v>
      </c>
      <c r="F32" s="241">
        <v>-10160.82</v>
      </c>
      <c r="G32" s="241">
        <v>-38544</v>
      </c>
      <c r="H32" s="241">
        <f t="shared" si="0"/>
        <v>1642678.9959095442</v>
      </c>
      <c r="I32" s="242"/>
      <c r="J32" s="240">
        <f t="shared" si="1"/>
        <v>1659047.1159095443</v>
      </c>
      <c r="K32" s="237">
        <v>-6207.3</v>
      </c>
      <c r="L32" s="237">
        <v>-10160.82</v>
      </c>
      <c r="M32" s="237"/>
      <c r="N32" s="237">
        <f t="shared" si="2"/>
        <v>1642678.9959095442</v>
      </c>
    </row>
    <row r="33" spans="1:14" x14ac:dyDescent="0.25">
      <c r="A33" s="238">
        <v>101891</v>
      </c>
      <c r="B33" s="238">
        <v>3072161</v>
      </c>
      <c r="C33" s="239" t="s">
        <v>76</v>
      </c>
      <c r="D33" s="240">
        <v>1281419.5862536025</v>
      </c>
      <c r="E33" s="241">
        <v>-4029.2999999999997</v>
      </c>
      <c r="F33" s="241">
        <v>-6595.62</v>
      </c>
      <c r="G33" s="241">
        <v>-29210</v>
      </c>
      <c r="H33" s="241">
        <f t="shared" si="0"/>
        <v>1241584.6662536024</v>
      </c>
      <c r="I33" s="242"/>
      <c r="J33" s="240">
        <f t="shared" si="1"/>
        <v>1252209.5862536025</v>
      </c>
      <c r="K33" s="237">
        <v>-4029.3000000000006</v>
      </c>
      <c r="L33" s="237">
        <v>-6595.62</v>
      </c>
      <c r="M33" s="237"/>
      <c r="N33" s="237">
        <f t="shared" si="2"/>
        <v>1241584.6662536024</v>
      </c>
    </row>
    <row r="34" spans="1:14" x14ac:dyDescent="0.25">
      <c r="A34" s="238">
        <v>101892</v>
      </c>
      <c r="B34" s="238">
        <v>3072162</v>
      </c>
      <c r="C34" s="239" t="s">
        <v>77</v>
      </c>
      <c r="D34" s="240">
        <v>1967442.9426665381</v>
      </c>
      <c r="E34" s="241">
        <v>-6769.95</v>
      </c>
      <c r="F34" s="241">
        <v>-11081.83</v>
      </c>
      <c r="G34" s="241">
        <v>-52800</v>
      </c>
      <c r="H34" s="241">
        <f t="shared" si="0"/>
        <v>1896791.162666538</v>
      </c>
      <c r="I34" s="242"/>
      <c r="J34" s="240">
        <f t="shared" si="1"/>
        <v>1914642.9426665381</v>
      </c>
      <c r="K34" s="237">
        <v>-6769.95</v>
      </c>
      <c r="L34" s="237">
        <v>-11081.83</v>
      </c>
      <c r="M34" s="237"/>
      <c r="N34" s="237">
        <f t="shared" si="2"/>
        <v>1896791.162666538</v>
      </c>
    </row>
    <row r="35" spans="1:14" x14ac:dyDescent="0.25">
      <c r="A35" s="238">
        <v>101893</v>
      </c>
      <c r="B35" s="238">
        <v>3072163</v>
      </c>
      <c r="C35" s="239" t="s">
        <v>78</v>
      </c>
      <c r="D35" s="240">
        <v>2243810.5772135356</v>
      </c>
      <c r="E35" s="241">
        <v>-7550.4</v>
      </c>
      <c r="F35" s="241">
        <v>-12359.36</v>
      </c>
      <c r="G35" s="241">
        <v>-24750</v>
      </c>
      <c r="H35" s="241">
        <f t="shared" si="0"/>
        <v>2199150.8172135358</v>
      </c>
      <c r="I35" s="242"/>
      <c r="J35" s="240">
        <f t="shared" si="1"/>
        <v>2219060.5772135356</v>
      </c>
      <c r="K35" s="237">
        <v>-7550.4000000000005</v>
      </c>
      <c r="L35" s="237">
        <v>-12359.36</v>
      </c>
      <c r="M35" s="237"/>
      <c r="N35" s="237">
        <f t="shared" si="2"/>
        <v>2199150.8172135358</v>
      </c>
    </row>
    <row r="36" spans="1:14" x14ac:dyDescent="0.25">
      <c r="A36" s="238">
        <v>101894</v>
      </c>
      <c r="B36" s="238">
        <v>3072164</v>
      </c>
      <c r="C36" s="239" t="s">
        <v>79</v>
      </c>
      <c r="D36" s="240">
        <v>2053603.8651787005</v>
      </c>
      <c r="E36" s="241">
        <v>-6769.95</v>
      </c>
      <c r="F36" s="241">
        <v>-11081.83</v>
      </c>
      <c r="G36" s="241">
        <v>-57024</v>
      </c>
      <c r="H36" s="241">
        <f t="shared" si="0"/>
        <v>1978728.0851787005</v>
      </c>
      <c r="I36" s="242"/>
      <c r="J36" s="240">
        <f t="shared" si="1"/>
        <v>1996579.8651787005</v>
      </c>
      <c r="K36" s="237">
        <v>-6769.95</v>
      </c>
      <c r="L36" s="237">
        <v>-11081.83</v>
      </c>
      <c r="M36" s="237"/>
      <c r="N36" s="237">
        <f t="shared" si="2"/>
        <v>1978728.0851787005</v>
      </c>
    </row>
    <row r="37" spans="1:14" x14ac:dyDescent="0.25">
      <c r="A37" s="238">
        <v>101895</v>
      </c>
      <c r="B37" s="238">
        <v>3072165</v>
      </c>
      <c r="C37" s="239" t="s">
        <v>80</v>
      </c>
      <c r="D37" s="240">
        <v>2157599.00616547</v>
      </c>
      <c r="E37" s="241">
        <v>-7278.15</v>
      </c>
      <c r="F37" s="241">
        <v>-11913.710000000001</v>
      </c>
      <c r="G37" s="241">
        <v>-51480</v>
      </c>
      <c r="H37" s="241">
        <f t="shared" si="0"/>
        <v>2086927.1461654701</v>
      </c>
      <c r="I37" s="242"/>
      <c r="J37" s="240">
        <f t="shared" si="1"/>
        <v>2106119.00616547</v>
      </c>
      <c r="K37" s="237">
        <v>-7278.1500000000005</v>
      </c>
      <c r="L37" s="237">
        <v>-11913.71</v>
      </c>
      <c r="M37" s="237"/>
      <c r="N37" s="237">
        <f t="shared" si="2"/>
        <v>2086927.1461654701</v>
      </c>
    </row>
    <row r="38" spans="1:14" x14ac:dyDescent="0.25">
      <c r="A38" s="238">
        <v>101896</v>
      </c>
      <c r="B38" s="238">
        <v>3072166</v>
      </c>
      <c r="C38" s="239" t="s">
        <v>81</v>
      </c>
      <c r="D38" s="240">
        <v>1947973.6296919417</v>
      </c>
      <c r="E38" s="241">
        <v>-6842.5499999999993</v>
      </c>
      <c r="F38" s="241">
        <v>-11200.67</v>
      </c>
      <c r="G38" s="241">
        <v>-59136</v>
      </c>
      <c r="H38" s="241">
        <f t="shared" si="0"/>
        <v>1870794.4096919417</v>
      </c>
      <c r="I38" s="242"/>
      <c r="J38" s="240">
        <f t="shared" si="1"/>
        <v>1888837.6296919417</v>
      </c>
      <c r="K38" s="237">
        <v>-6842.55</v>
      </c>
      <c r="L38" s="237">
        <v>-11200.67</v>
      </c>
      <c r="M38" s="237"/>
      <c r="N38" s="237">
        <f t="shared" si="2"/>
        <v>1870794.4096919417</v>
      </c>
    </row>
    <row r="39" spans="1:14" x14ac:dyDescent="0.25">
      <c r="A39" s="238">
        <v>101897</v>
      </c>
      <c r="B39" s="238">
        <v>3072167</v>
      </c>
      <c r="C39" s="239" t="s">
        <v>82</v>
      </c>
      <c r="D39" s="240">
        <v>3805590</v>
      </c>
      <c r="E39" s="241">
        <v>-15790.499999999998</v>
      </c>
      <c r="F39" s="241">
        <v>-25847.7</v>
      </c>
      <c r="G39" s="241">
        <v>-95040</v>
      </c>
      <c r="H39" s="241">
        <f t="shared" si="0"/>
        <v>3668911.8</v>
      </c>
      <c r="I39" s="242"/>
      <c r="J39" s="240">
        <f t="shared" si="1"/>
        <v>3710550</v>
      </c>
      <c r="K39" s="237">
        <v>-15790.5</v>
      </c>
      <c r="L39" s="237">
        <v>-25847.7</v>
      </c>
      <c r="M39" s="237"/>
      <c r="N39" s="237">
        <f t="shared" si="2"/>
        <v>3668911.8</v>
      </c>
    </row>
    <row r="40" spans="1:14" x14ac:dyDescent="0.25">
      <c r="A40" s="238">
        <v>101898</v>
      </c>
      <c r="B40" s="238">
        <v>3072168</v>
      </c>
      <c r="C40" s="239" t="s">
        <v>83</v>
      </c>
      <c r="D40" s="240">
        <v>4692626.1632185932</v>
      </c>
      <c r="E40" s="241">
        <v>-15046.349999999999</v>
      </c>
      <c r="F40" s="241">
        <v>-24629.59</v>
      </c>
      <c r="G40" s="241">
        <v>-123024</v>
      </c>
      <c r="H40" s="241">
        <f t="shared" si="0"/>
        <v>4529926.2232185937</v>
      </c>
      <c r="I40" s="242"/>
      <c r="J40" s="240">
        <f t="shared" si="1"/>
        <v>4569602.1632185932</v>
      </c>
      <c r="K40" s="237">
        <v>-15046.35</v>
      </c>
      <c r="L40" s="237">
        <v>-24629.59</v>
      </c>
      <c r="M40" s="237"/>
      <c r="N40" s="237">
        <f t="shared" si="2"/>
        <v>4529926.2232185937</v>
      </c>
    </row>
    <row r="41" spans="1:14" x14ac:dyDescent="0.25">
      <c r="A41" s="238">
        <v>101899</v>
      </c>
      <c r="B41" s="238">
        <v>3072169</v>
      </c>
      <c r="C41" s="239" t="s">
        <v>84</v>
      </c>
      <c r="D41" s="240">
        <v>2886691.2496378315</v>
      </c>
      <c r="E41" s="241">
        <v>-9909.9</v>
      </c>
      <c r="F41" s="241">
        <v>-16221.66</v>
      </c>
      <c r="G41" s="241">
        <v>-64944</v>
      </c>
      <c r="H41" s="241">
        <f t="shared" si="0"/>
        <v>2795615.6896378314</v>
      </c>
      <c r="I41" s="242"/>
      <c r="J41" s="240">
        <f t="shared" si="1"/>
        <v>2821747.2496378315</v>
      </c>
      <c r="K41" s="237">
        <v>-9909.9000000000015</v>
      </c>
      <c r="L41" s="237">
        <v>-16221.66</v>
      </c>
      <c r="M41" s="237"/>
      <c r="N41" s="237">
        <f t="shared" si="2"/>
        <v>2795615.6896378314</v>
      </c>
    </row>
    <row r="42" spans="1:14" x14ac:dyDescent="0.25">
      <c r="A42" s="238">
        <v>101900</v>
      </c>
      <c r="B42" s="238">
        <v>3072170</v>
      </c>
      <c r="C42" s="239" t="s">
        <v>85</v>
      </c>
      <c r="D42" s="240">
        <v>2092515.420688238</v>
      </c>
      <c r="E42" s="241">
        <v>-6624.7499999999991</v>
      </c>
      <c r="F42" s="241">
        <v>-10844.15</v>
      </c>
      <c r="G42" s="241">
        <v>-47784</v>
      </c>
      <c r="H42" s="241">
        <f t="shared" si="0"/>
        <v>2027262.5206882381</v>
      </c>
      <c r="I42" s="242"/>
      <c r="J42" s="240">
        <f t="shared" si="1"/>
        <v>2044731.420688238</v>
      </c>
      <c r="K42" s="237">
        <v>-6624.75</v>
      </c>
      <c r="L42" s="237">
        <v>-10844.15</v>
      </c>
      <c r="M42" s="237"/>
      <c r="N42" s="237">
        <f t="shared" si="2"/>
        <v>2027262.5206882381</v>
      </c>
    </row>
    <row r="43" spans="1:14" x14ac:dyDescent="0.25">
      <c r="A43" s="238">
        <v>101901</v>
      </c>
      <c r="B43" s="238">
        <v>3072171</v>
      </c>
      <c r="C43" s="239" t="s">
        <v>86</v>
      </c>
      <c r="D43" s="240">
        <v>3545062.1617875104</v>
      </c>
      <c r="E43" s="241">
        <v>-12904.65</v>
      </c>
      <c r="F43" s="241">
        <v>-21123.81</v>
      </c>
      <c r="G43" s="241">
        <v>-116160</v>
      </c>
      <c r="H43" s="241">
        <f t="shared" ref="H43:H74" si="3">SUM(D43:G43)</f>
        <v>3394873.7017875104</v>
      </c>
      <c r="I43" s="242"/>
      <c r="J43" s="240">
        <f t="shared" ref="J43:J76" si="4">D43+G43</f>
        <v>3428902.1617875104</v>
      </c>
      <c r="K43" s="237">
        <v>-12904.65</v>
      </c>
      <c r="L43" s="237">
        <v>-21123.81</v>
      </c>
      <c r="M43" s="237"/>
      <c r="N43" s="237">
        <f t="shared" ref="N43:N76" si="5">J43+K43+L43</f>
        <v>3394873.7017875104</v>
      </c>
    </row>
    <row r="44" spans="1:14" x14ac:dyDescent="0.25">
      <c r="A44" s="238">
        <v>101902</v>
      </c>
      <c r="B44" s="238">
        <v>3072172</v>
      </c>
      <c r="C44" s="239" t="s">
        <v>87</v>
      </c>
      <c r="D44" s="240">
        <v>2750436.8940386414</v>
      </c>
      <c r="E44" s="241">
        <v>-8802.75</v>
      </c>
      <c r="F44" s="241">
        <v>-14409.35</v>
      </c>
      <c r="G44" s="241">
        <v>-98208</v>
      </c>
      <c r="H44" s="241">
        <f t="shared" si="3"/>
        <v>2629016.7940386413</v>
      </c>
      <c r="I44" s="242"/>
      <c r="J44" s="240">
        <f t="shared" si="4"/>
        <v>2652228.8940386414</v>
      </c>
      <c r="K44" s="237">
        <v>-8802.75</v>
      </c>
      <c r="L44" s="237">
        <v>-14409.35</v>
      </c>
      <c r="M44" s="237"/>
      <c r="N44" s="237">
        <f t="shared" si="5"/>
        <v>2629016.7940386413</v>
      </c>
    </row>
    <row r="45" spans="1:14" x14ac:dyDescent="0.25">
      <c r="A45" s="238">
        <v>101903</v>
      </c>
      <c r="B45" s="238">
        <v>3072173</v>
      </c>
      <c r="C45" s="239" t="s">
        <v>88</v>
      </c>
      <c r="D45" s="240">
        <v>2874871.9427340757</v>
      </c>
      <c r="E45" s="241">
        <v>-10000.65</v>
      </c>
      <c r="F45" s="241">
        <v>-16370.210000000001</v>
      </c>
      <c r="G45" s="241">
        <v>-52272</v>
      </c>
      <c r="H45" s="241">
        <f t="shared" si="3"/>
        <v>2796229.0827340758</v>
      </c>
      <c r="I45" s="242"/>
      <c r="J45" s="240">
        <f t="shared" si="4"/>
        <v>2822599.9427340757</v>
      </c>
      <c r="K45" s="237">
        <v>-10000.65</v>
      </c>
      <c r="L45" s="237">
        <v>-16370.21</v>
      </c>
      <c r="M45" s="237"/>
      <c r="N45" s="237">
        <f t="shared" si="5"/>
        <v>2796229.0827340758</v>
      </c>
    </row>
    <row r="46" spans="1:14" x14ac:dyDescent="0.25">
      <c r="A46" s="238">
        <v>101904</v>
      </c>
      <c r="B46" s="238">
        <v>3072174</v>
      </c>
      <c r="C46" s="239" t="s">
        <v>89</v>
      </c>
      <c r="D46" s="240">
        <v>2814595.9265560368</v>
      </c>
      <c r="E46" s="241">
        <v>-11361.9</v>
      </c>
      <c r="F46" s="241">
        <v>-18598.46</v>
      </c>
      <c r="G46" s="241">
        <v>-50424</v>
      </c>
      <c r="H46" s="241">
        <f t="shared" si="3"/>
        <v>2734211.5665560369</v>
      </c>
      <c r="I46" s="242"/>
      <c r="J46" s="240">
        <f t="shared" si="4"/>
        <v>2764171.9265560368</v>
      </c>
      <c r="K46" s="237">
        <v>-11361.9</v>
      </c>
      <c r="L46" s="237">
        <v>-18598.46</v>
      </c>
      <c r="M46" s="237"/>
      <c r="N46" s="237">
        <f t="shared" si="5"/>
        <v>2734211.5665560369</v>
      </c>
    </row>
    <row r="47" spans="1:14" x14ac:dyDescent="0.25">
      <c r="A47" s="238">
        <v>101905</v>
      </c>
      <c r="B47" s="238">
        <v>3072175</v>
      </c>
      <c r="C47" s="239" t="s">
        <v>90</v>
      </c>
      <c r="D47" s="240">
        <v>1991872.2541379309</v>
      </c>
      <c r="E47" s="241">
        <v>-7405.2</v>
      </c>
      <c r="F47" s="241">
        <v>-12121.68</v>
      </c>
      <c r="G47" s="241">
        <v>-38544</v>
      </c>
      <c r="H47" s="241">
        <f t="shared" si="3"/>
        <v>1933801.374137931</v>
      </c>
      <c r="I47" s="242"/>
      <c r="J47" s="240">
        <f t="shared" si="4"/>
        <v>1953328.2541379309</v>
      </c>
      <c r="K47" s="237">
        <v>-7405.2000000000007</v>
      </c>
      <c r="L47" s="237">
        <v>-12121.68</v>
      </c>
      <c r="M47" s="237"/>
      <c r="N47" s="237">
        <f t="shared" si="5"/>
        <v>1933801.374137931</v>
      </c>
    </row>
    <row r="48" spans="1:14" x14ac:dyDescent="0.25">
      <c r="A48" s="238">
        <v>101906</v>
      </c>
      <c r="B48" s="238">
        <v>3072176</v>
      </c>
      <c r="C48" s="239" t="s">
        <v>91</v>
      </c>
      <c r="D48" s="240">
        <v>2204016.485400626</v>
      </c>
      <c r="E48" s="241">
        <v>-7532.2499999999991</v>
      </c>
      <c r="F48" s="241">
        <v>-12329.65</v>
      </c>
      <c r="G48" s="241">
        <v>-74448</v>
      </c>
      <c r="H48" s="241">
        <f t="shared" si="3"/>
        <v>2109706.5854006261</v>
      </c>
      <c r="I48" s="242"/>
      <c r="J48" s="240">
        <f t="shared" si="4"/>
        <v>2129568.485400626</v>
      </c>
      <c r="K48" s="237">
        <v>-7532.25</v>
      </c>
      <c r="L48" s="237">
        <v>-12329.65</v>
      </c>
      <c r="M48" s="237"/>
      <c r="N48" s="237">
        <f t="shared" si="5"/>
        <v>2109706.5854006261</v>
      </c>
    </row>
    <row r="49" spans="1:14" x14ac:dyDescent="0.25">
      <c r="A49" s="238">
        <v>101907</v>
      </c>
      <c r="B49" s="238">
        <v>3072177</v>
      </c>
      <c r="C49" s="239" t="s">
        <v>92</v>
      </c>
      <c r="D49" s="240">
        <v>1690841.5329012452</v>
      </c>
      <c r="E49" s="241">
        <v>-5735.4</v>
      </c>
      <c r="F49" s="241">
        <v>-9388.36</v>
      </c>
      <c r="G49" s="241">
        <v>-45936</v>
      </c>
      <c r="H49" s="241">
        <f t="shared" si="3"/>
        <v>1629781.7729012452</v>
      </c>
      <c r="I49" s="242"/>
      <c r="J49" s="240">
        <f t="shared" si="4"/>
        <v>1644905.5329012452</v>
      </c>
      <c r="K49" s="237">
        <v>-5735.4</v>
      </c>
      <c r="L49" s="237">
        <v>-9388.36</v>
      </c>
      <c r="M49" s="237"/>
      <c r="N49" s="237">
        <f t="shared" si="5"/>
        <v>1629781.7729012452</v>
      </c>
    </row>
    <row r="50" spans="1:14" x14ac:dyDescent="0.25">
      <c r="A50" s="238">
        <v>101908</v>
      </c>
      <c r="B50" s="238">
        <v>3072178</v>
      </c>
      <c r="C50" s="239" t="s">
        <v>93</v>
      </c>
      <c r="D50" s="240">
        <v>1162737.6594033611</v>
      </c>
      <c r="E50" s="241">
        <v>-3357.7499999999995</v>
      </c>
      <c r="F50" s="241">
        <v>-5496.35</v>
      </c>
      <c r="G50" s="241">
        <v>-29581.29</v>
      </c>
      <c r="H50" s="241">
        <f t="shared" si="3"/>
        <v>1124302.269403361</v>
      </c>
      <c r="I50" s="242"/>
      <c r="J50" s="240">
        <f t="shared" si="4"/>
        <v>1133156.3694033611</v>
      </c>
      <c r="K50" s="237">
        <v>-3357.75</v>
      </c>
      <c r="L50" s="237">
        <v>-5496.35</v>
      </c>
      <c r="M50" s="237"/>
      <c r="N50" s="237">
        <f t="shared" si="5"/>
        <v>1124302.269403361</v>
      </c>
    </row>
    <row r="51" spans="1:14" x14ac:dyDescent="0.25">
      <c r="A51" s="238">
        <v>101909</v>
      </c>
      <c r="B51" s="238">
        <v>3072179</v>
      </c>
      <c r="C51" s="239" t="s">
        <v>94</v>
      </c>
      <c r="D51" s="240">
        <v>1444394.997136842</v>
      </c>
      <c r="E51" s="241">
        <v>-4519.3499999999995</v>
      </c>
      <c r="F51" s="241">
        <v>-7397.79</v>
      </c>
      <c r="G51" s="241">
        <v>-47256</v>
      </c>
      <c r="H51" s="241">
        <f t="shared" si="3"/>
        <v>1385221.8571368419</v>
      </c>
      <c r="I51" s="242"/>
      <c r="J51" s="240">
        <f t="shared" si="4"/>
        <v>1397138.997136842</v>
      </c>
      <c r="K51" s="237">
        <v>-4519.3499999999995</v>
      </c>
      <c r="L51" s="237">
        <v>-7397.79</v>
      </c>
      <c r="M51" s="237"/>
      <c r="N51" s="237">
        <f t="shared" si="5"/>
        <v>1385221.8571368419</v>
      </c>
    </row>
    <row r="52" spans="1:14" x14ac:dyDescent="0.25">
      <c r="A52" s="238">
        <v>101910</v>
      </c>
      <c r="B52" s="238">
        <v>3072180</v>
      </c>
      <c r="C52" s="239" t="s">
        <v>95</v>
      </c>
      <c r="D52" s="240">
        <v>3406225.2140655359</v>
      </c>
      <c r="E52" s="241">
        <v>-11017.05</v>
      </c>
      <c r="F52" s="241">
        <v>-18033.97</v>
      </c>
      <c r="G52" s="241">
        <v>-104544</v>
      </c>
      <c r="H52" s="241">
        <f t="shared" si="3"/>
        <v>3272630.1940655359</v>
      </c>
      <c r="I52" s="242"/>
      <c r="J52" s="240">
        <f t="shared" si="4"/>
        <v>3301681.2140655359</v>
      </c>
      <c r="K52" s="237">
        <v>-11017.05</v>
      </c>
      <c r="L52" s="237">
        <v>-18033.97</v>
      </c>
      <c r="M52" s="237"/>
      <c r="N52" s="237">
        <f t="shared" si="5"/>
        <v>3272630.1940655359</v>
      </c>
    </row>
    <row r="53" spans="1:14" x14ac:dyDescent="0.25">
      <c r="A53" s="238">
        <v>101911</v>
      </c>
      <c r="B53" s="238">
        <v>3072181</v>
      </c>
      <c r="C53" s="239" t="s">
        <v>96</v>
      </c>
      <c r="D53" s="240">
        <v>2178618.02902439</v>
      </c>
      <c r="E53" s="241">
        <v>-7259.9999999999991</v>
      </c>
      <c r="F53" s="241">
        <v>-11884</v>
      </c>
      <c r="G53" s="241">
        <v>-54384</v>
      </c>
      <c r="H53" s="241">
        <f t="shared" si="3"/>
        <v>2105090.02902439</v>
      </c>
      <c r="I53" s="242"/>
      <c r="J53" s="240">
        <f t="shared" si="4"/>
        <v>2124234.02902439</v>
      </c>
      <c r="K53" s="237">
        <v>-7260</v>
      </c>
      <c r="L53" s="237">
        <v>-11884</v>
      </c>
      <c r="M53" s="237"/>
      <c r="N53" s="237">
        <f t="shared" si="5"/>
        <v>2105090.02902439</v>
      </c>
    </row>
    <row r="54" spans="1:14" x14ac:dyDescent="0.25">
      <c r="A54" s="238">
        <v>101912</v>
      </c>
      <c r="B54" s="238">
        <v>3072182</v>
      </c>
      <c r="C54" s="239" t="s">
        <v>97</v>
      </c>
      <c r="D54" s="240">
        <v>2929487.6380672175</v>
      </c>
      <c r="E54" s="241">
        <v>-11216.699999999999</v>
      </c>
      <c r="F54" s="241">
        <v>-18360.78</v>
      </c>
      <c r="G54" s="241">
        <v>-66528</v>
      </c>
      <c r="H54" s="241">
        <f t="shared" si="3"/>
        <v>2833382.1580672176</v>
      </c>
      <c r="I54" s="242"/>
      <c r="J54" s="240">
        <f t="shared" si="4"/>
        <v>2862959.6380672175</v>
      </c>
      <c r="K54" s="237">
        <v>-11216.699999999999</v>
      </c>
      <c r="L54" s="237">
        <v>-18360.78</v>
      </c>
      <c r="M54" s="237"/>
      <c r="N54" s="237">
        <f t="shared" si="5"/>
        <v>2833382.1580672176</v>
      </c>
    </row>
    <row r="55" spans="1:14" x14ac:dyDescent="0.25">
      <c r="A55" s="238">
        <v>101913</v>
      </c>
      <c r="B55" s="238">
        <v>3072183</v>
      </c>
      <c r="C55" s="239" t="s">
        <v>98</v>
      </c>
      <c r="D55" s="240">
        <v>2099224.2469276297</v>
      </c>
      <c r="E55" s="241">
        <v>-7223.7</v>
      </c>
      <c r="F55" s="241">
        <v>-11824.58</v>
      </c>
      <c r="G55" s="241">
        <v>-34286</v>
      </c>
      <c r="H55" s="241">
        <f t="shared" si="3"/>
        <v>2045889.9669276297</v>
      </c>
      <c r="I55" s="242"/>
      <c r="J55" s="240">
        <f t="shared" si="4"/>
        <v>2064938.2469276297</v>
      </c>
      <c r="K55" s="237">
        <v>-7223.7</v>
      </c>
      <c r="L55" s="237">
        <v>-11824.58</v>
      </c>
      <c r="M55" s="237"/>
      <c r="N55" s="237">
        <f t="shared" si="5"/>
        <v>2045889.9669276297</v>
      </c>
    </row>
    <row r="56" spans="1:14" x14ac:dyDescent="0.25">
      <c r="A56" s="238">
        <v>101916</v>
      </c>
      <c r="B56" s="238">
        <v>3072186</v>
      </c>
      <c r="C56" s="239" t="s">
        <v>99</v>
      </c>
      <c r="D56" s="240">
        <v>2120381.2292625364</v>
      </c>
      <c r="E56" s="241">
        <v>-7550.4</v>
      </c>
      <c r="F56" s="241">
        <v>-12359.36</v>
      </c>
      <c r="G56" s="241">
        <v>-45672</v>
      </c>
      <c r="H56" s="241">
        <f t="shared" si="3"/>
        <v>2054799.4692625366</v>
      </c>
      <c r="I56" s="242"/>
      <c r="J56" s="240">
        <f t="shared" si="4"/>
        <v>2074709.2292625364</v>
      </c>
      <c r="K56" s="237">
        <v>-7550.4000000000005</v>
      </c>
      <c r="L56" s="237">
        <v>-12359.36</v>
      </c>
      <c r="M56" s="237"/>
      <c r="N56" s="237">
        <f t="shared" si="5"/>
        <v>2054799.4692625364</v>
      </c>
    </row>
    <row r="57" spans="1:14" x14ac:dyDescent="0.25">
      <c r="A57" s="238">
        <v>131144</v>
      </c>
      <c r="B57" s="238">
        <v>3072187</v>
      </c>
      <c r="C57" s="239" t="s">
        <v>100</v>
      </c>
      <c r="D57" s="240">
        <v>3533994.0839055502</v>
      </c>
      <c r="E57" s="241">
        <v>-12777.599999999999</v>
      </c>
      <c r="F57" s="241">
        <v>-20915.84</v>
      </c>
      <c r="G57" s="241">
        <v>-109824</v>
      </c>
      <c r="H57" s="241">
        <f t="shared" si="3"/>
        <v>3390476.6439055502</v>
      </c>
      <c r="I57" s="242"/>
      <c r="J57" s="240">
        <f t="shared" si="4"/>
        <v>3424170.0839055502</v>
      </c>
      <c r="K57" s="237">
        <v>-12777.6</v>
      </c>
      <c r="L57" s="237">
        <v>-20915.84</v>
      </c>
      <c r="M57" s="237"/>
      <c r="N57" s="237">
        <f t="shared" si="5"/>
        <v>3390476.6439055502</v>
      </c>
    </row>
    <row r="58" spans="1:14" x14ac:dyDescent="0.25">
      <c r="A58" s="238">
        <v>101919</v>
      </c>
      <c r="B58" s="238">
        <v>3073500</v>
      </c>
      <c r="C58" s="239" t="s">
        <v>101</v>
      </c>
      <c r="D58" s="240">
        <v>1804489.6693252593</v>
      </c>
      <c r="E58" s="241">
        <v>-6987.7499999999991</v>
      </c>
      <c r="F58" s="241">
        <v>-11438.35</v>
      </c>
      <c r="G58" s="241">
        <v>-8764.6</v>
      </c>
      <c r="H58" s="241">
        <f t="shared" si="3"/>
        <v>1777298.9693252591</v>
      </c>
      <c r="I58" s="242"/>
      <c r="J58" s="240">
        <f t="shared" si="4"/>
        <v>1795725.0693252592</v>
      </c>
      <c r="K58" s="237">
        <v>-6987.75</v>
      </c>
      <c r="L58" s="237">
        <v>-11438.35</v>
      </c>
      <c r="M58" s="237"/>
      <c r="N58" s="237">
        <f t="shared" si="5"/>
        <v>1777298.9693252591</v>
      </c>
    </row>
    <row r="59" spans="1:14" x14ac:dyDescent="0.25">
      <c r="A59" s="238">
        <v>101920</v>
      </c>
      <c r="B59" s="238">
        <v>3073503</v>
      </c>
      <c r="C59" s="239" t="s">
        <v>102</v>
      </c>
      <c r="D59" s="240">
        <v>2044851.7042373219</v>
      </c>
      <c r="E59" s="241">
        <v>-7514.0999999999995</v>
      </c>
      <c r="F59" s="241">
        <v>-12299.94</v>
      </c>
      <c r="G59" s="241">
        <v>-10190.4</v>
      </c>
      <c r="H59" s="241">
        <f t="shared" si="3"/>
        <v>2014847.2642373219</v>
      </c>
      <c r="I59" s="242"/>
      <c r="J59" s="240">
        <f t="shared" si="4"/>
        <v>2034661.304237322</v>
      </c>
      <c r="K59" s="237">
        <v>-7514.1</v>
      </c>
      <c r="L59" s="237">
        <v>-12299.94</v>
      </c>
      <c r="M59" s="237"/>
      <c r="N59" s="237">
        <f t="shared" si="5"/>
        <v>2014847.2642373219</v>
      </c>
    </row>
    <row r="60" spans="1:14" x14ac:dyDescent="0.25">
      <c r="A60" s="238">
        <v>101921</v>
      </c>
      <c r="B60" s="238">
        <v>3073504</v>
      </c>
      <c r="C60" s="239" t="s">
        <v>103</v>
      </c>
      <c r="D60" s="240">
        <v>1729788.4499050849</v>
      </c>
      <c r="E60" s="241">
        <v>-6316.2</v>
      </c>
      <c r="F60" s="241">
        <v>-10339.08</v>
      </c>
      <c r="G60" s="241">
        <v>-14953.26</v>
      </c>
      <c r="H60" s="241">
        <f t="shared" si="3"/>
        <v>1698179.9099050849</v>
      </c>
      <c r="I60" s="242"/>
      <c r="J60" s="240">
        <f t="shared" si="4"/>
        <v>1714835.1899050849</v>
      </c>
      <c r="K60" s="237">
        <v>-6316.2</v>
      </c>
      <c r="L60" s="237">
        <v>-10339.08</v>
      </c>
      <c r="M60" s="237"/>
      <c r="N60" s="237">
        <f t="shared" si="5"/>
        <v>1698179.9099050849</v>
      </c>
    </row>
    <row r="61" spans="1:14" x14ac:dyDescent="0.25">
      <c r="A61" s="238">
        <v>101922</v>
      </c>
      <c r="B61" s="238">
        <v>3073505</v>
      </c>
      <c r="C61" s="239" t="s">
        <v>104</v>
      </c>
      <c r="D61" s="240">
        <v>1127072.2499933031</v>
      </c>
      <c r="E61" s="241">
        <v>-3775.2</v>
      </c>
      <c r="F61" s="241">
        <v>-6179.68</v>
      </c>
      <c r="G61" s="241">
        <v>-4636.8999999999996</v>
      </c>
      <c r="H61" s="241">
        <f t="shared" si="3"/>
        <v>1112480.4699933033</v>
      </c>
      <c r="I61" s="242"/>
      <c r="J61" s="240">
        <f t="shared" si="4"/>
        <v>1122435.3499933032</v>
      </c>
      <c r="K61" s="237">
        <v>-3775.2000000000003</v>
      </c>
      <c r="L61" s="237">
        <v>-6179.68</v>
      </c>
      <c r="M61" s="237"/>
      <c r="N61" s="237">
        <f t="shared" si="5"/>
        <v>1112480.4699933033</v>
      </c>
    </row>
    <row r="62" spans="1:14" x14ac:dyDescent="0.25">
      <c r="A62" s="238">
        <v>101923</v>
      </c>
      <c r="B62" s="238">
        <v>3073506</v>
      </c>
      <c r="C62" s="239" t="s">
        <v>105</v>
      </c>
      <c r="D62" s="240">
        <v>1682388.6108959855</v>
      </c>
      <c r="E62" s="241">
        <v>-6279.9</v>
      </c>
      <c r="F62" s="241">
        <v>-10279.66</v>
      </c>
      <c r="G62" s="241">
        <v>-13305.6</v>
      </c>
      <c r="H62" s="241">
        <f t="shared" si="3"/>
        <v>1652523.4508959856</v>
      </c>
      <c r="I62" s="242"/>
      <c r="J62" s="240">
        <f t="shared" si="4"/>
        <v>1669083.0108959854</v>
      </c>
      <c r="K62" s="237">
        <v>-6279.9</v>
      </c>
      <c r="L62" s="237">
        <v>-10279.66</v>
      </c>
      <c r="M62" s="237"/>
      <c r="N62" s="237">
        <f t="shared" si="5"/>
        <v>1652523.4508959856</v>
      </c>
    </row>
    <row r="63" spans="1:14" x14ac:dyDescent="0.25">
      <c r="A63" s="238">
        <v>101924</v>
      </c>
      <c r="B63" s="238">
        <v>3073507</v>
      </c>
      <c r="C63" s="239" t="s">
        <v>106</v>
      </c>
      <c r="D63" s="240">
        <v>2729295.3506364361</v>
      </c>
      <c r="E63" s="241">
        <v>-10654.05</v>
      </c>
      <c r="F63" s="241">
        <v>-17439.77</v>
      </c>
      <c r="G63" s="241">
        <v>-8395.2000000000007</v>
      </c>
      <c r="H63" s="241">
        <f t="shared" si="3"/>
        <v>2692806.3306364361</v>
      </c>
      <c r="I63" s="242"/>
      <c r="J63" s="240">
        <f t="shared" si="4"/>
        <v>2720900.150636436</v>
      </c>
      <c r="K63" s="237">
        <v>-10654.049999999997</v>
      </c>
      <c r="L63" s="237">
        <v>-17439.77</v>
      </c>
      <c r="M63" s="237"/>
      <c r="N63" s="237">
        <f t="shared" si="5"/>
        <v>2692806.3306364361</v>
      </c>
    </row>
    <row r="64" spans="1:14" x14ac:dyDescent="0.25">
      <c r="A64" s="238">
        <v>101925</v>
      </c>
      <c r="B64" s="238">
        <v>3073508</v>
      </c>
      <c r="C64" s="239" t="s">
        <v>107</v>
      </c>
      <c r="D64" s="240">
        <v>2398164.627492351</v>
      </c>
      <c r="E64" s="241">
        <v>-9056.8499999999985</v>
      </c>
      <c r="F64" s="241">
        <v>-14825.29</v>
      </c>
      <c r="G64" s="241">
        <v>-12777.6</v>
      </c>
      <c r="H64" s="241">
        <f t="shared" si="3"/>
        <v>2361504.8874923508</v>
      </c>
      <c r="I64" s="242"/>
      <c r="J64" s="240">
        <f t="shared" si="4"/>
        <v>2385387.0274923509</v>
      </c>
      <c r="K64" s="237">
        <v>-9056.85</v>
      </c>
      <c r="L64" s="237">
        <v>-14825.29</v>
      </c>
      <c r="M64" s="237"/>
      <c r="N64" s="237">
        <f t="shared" si="5"/>
        <v>2361504.8874923508</v>
      </c>
    </row>
    <row r="65" spans="1:14" x14ac:dyDescent="0.25">
      <c r="A65" s="238">
        <v>101926</v>
      </c>
      <c r="B65" s="238">
        <v>3073509</v>
      </c>
      <c r="C65" s="239" t="s">
        <v>108</v>
      </c>
      <c r="D65" s="240">
        <v>2138695.6892134831</v>
      </c>
      <c r="E65" s="241">
        <v>-7550.4</v>
      </c>
      <c r="F65" s="241">
        <v>-12359.36</v>
      </c>
      <c r="G65" s="241">
        <v>-11405.1</v>
      </c>
      <c r="H65" s="241">
        <f t="shared" si="3"/>
        <v>2107380.8292134833</v>
      </c>
      <c r="I65" s="242"/>
      <c r="J65" s="240">
        <f t="shared" si="4"/>
        <v>2127290.589213483</v>
      </c>
      <c r="K65" s="237">
        <v>-7550.4000000000005</v>
      </c>
      <c r="L65" s="237">
        <v>-12359.36</v>
      </c>
      <c r="M65" s="237"/>
      <c r="N65" s="237">
        <f t="shared" si="5"/>
        <v>2107380.8292134833</v>
      </c>
    </row>
    <row r="66" spans="1:14" x14ac:dyDescent="0.25">
      <c r="A66" s="238">
        <v>101927</v>
      </c>
      <c r="B66" s="238">
        <v>3073510</v>
      </c>
      <c r="C66" s="239" t="s">
        <v>320</v>
      </c>
      <c r="D66" s="240">
        <v>1951510.6374907901</v>
      </c>
      <c r="E66" s="241">
        <v>-7259.9999999999991</v>
      </c>
      <c r="F66" s="241">
        <v>-11884</v>
      </c>
      <c r="G66" s="241">
        <v>-3758.4</v>
      </c>
      <c r="H66" s="241">
        <f t="shared" si="3"/>
        <v>1928608.2374907902</v>
      </c>
      <c r="I66" s="242"/>
      <c r="J66" s="240">
        <f t="shared" si="4"/>
        <v>1947752.2374907902</v>
      </c>
      <c r="K66" s="237">
        <v>-7260</v>
      </c>
      <c r="L66" s="237">
        <v>-11884</v>
      </c>
      <c r="M66" s="237"/>
      <c r="N66" s="237">
        <f t="shared" si="5"/>
        <v>1928608.2374907902</v>
      </c>
    </row>
    <row r="67" spans="1:14" x14ac:dyDescent="0.25">
      <c r="A67" s="238">
        <v>134217</v>
      </c>
      <c r="B67" s="238">
        <v>3073511</v>
      </c>
      <c r="C67" s="239" t="s">
        <v>110</v>
      </c>
      <c r="D67" s="240">
        <v>1278099.1283615818</v>
      </c>
      <c r="E67" s="241">
        <v>-3757.0499999999997</v>
      </c>
      <c r="F67" s="241">
        <v>-6149.97</v>
      </c>
      <c r="G67" s="241">
        <v>-26924</v>
      </c>
      <c r="H67" s="241">
        <f t="shared" si="3"/>
        <v>1241268.1083615818</v>
      </c>
      <c r="I67" s="242"/>
      <c r="J67" s="240">
        <f t="shared" si="4"/>
        <v>1251175.1283615818</v>
      </c>
      <c r="K67" s="237">
        <v>-3757.05</v>
      </c>
      <c r="L67" s="237">
        <v>-6149.97</v>
      </c>
      <c r="M67" s="237"/>
      <c r="N67" s="237">
        <f t="shared" si="5"/>
        <v>1241268.1083615818</v>
      </c>
    </row>
    <row r="68" spans="1:14" x14ac:dyDescent="0.25">
      <c r="A68" s="238">
        <v>135482</v>
      </c>
      <c r="B68" s="238">
        <v>3073512</v>
      </c>
      <c r="C68" s="239" t="s">
        <v>111</v>
      </c>
      <c r="D68" s="240">
        <v>2021629.6078399699</v>
      </c>
      <c r="E68" s="241">
        <v>-7096.65</v>
      </c>
      <c r="F68" s="241">
        <v>-11616.61</v>
      </c>
      <c r="G68" s="241">
        <v>-12566.4</v>
      </c>
      <c r="H68" s="241">
        <f t="shared" si="3"/>
        <v>1990349.94783997</v>
      </c>
      <c r="I68" s="242"/>
      <c r="J68" s="240">
        <f t="shared" si="4"/>
        <v>2009063.20783997</v>
      </c>
      <c r="K68" s="237">
        <v>-7096.65</v>
      </c>
      <c r="L68" s="237">
        <v>-11616.61</v>
      </c>
      <c r="M68" s="237"/>
      <c r="N68" s="237">
        <f t="shared" si="5"/>
        <v>1990349.94783997</v>
      </c>
    </row>
    <row r="69" spans="1:14" x14ac:dyDescent="0.25">
      <c r="A69" s="238">
        <v>136445</v>
      </c>
      <c r="B69" s="238">
        <v>3073513</v>
      </c>
      <c r="C69" s="239" t="s">
        <v>112</v>
      </c>
      <c r="D69" s="240">
        <v>3948122.9063157896</v>
      </c>
      <c r="E69" s="241">
        <v>-15245.999999999998</v>
      </c>
      <c r="F69" s="241">
        <v>-24956.400000000001</v>
      </c>
      <c r="G69" s="241">
        <v>-13833.6</v>
      </c>
      <c r="H69" s="241">
        <f t="shared" si="3"/>
        <v>3894086.9063157896</v>
      </c>
      <c r="I69" s="242"/>
      <c r="J69" s="240">
        <f t="shared" si="4"/>
        <v>3934289.3063157895</v>
      </c>
      <c r="K69" s="237">
        <v>-15245.999999999998</v>
      </c>
      <c r="L69" s="237">
        <v>-24956.400000000001</v>
      </c>
      <c r="M69" s="237"/>
      <c r="N69" s="237">
        <f t="shared" si="5"/>
        <v>3894086.9063157896</v>
      </c>
    </row>
    <row r="70" spans="1:14" x14ac:dyDescent="0.25">
      <c r="A70" s="238">
        <v>101928</v>
      </c>
      <c r="B70" s="238">
        <v>3074020</v>
      </c>
      <c r="C70" s="239" t="s">
        <v>113</v>
      </c>
      <c r="D70" s="240">
        <v>9231053.2762122229</v>
      </c>
      <c r="E70" s="241">
        <v>-10887.499999999998</v>
      </c>
      <c r="F70" s="241">
        <v>-37137.5</v>
      </c>
      <c r="G70" s="241">
        <v>-27192</v>
      </c>
      <c r="H70" s="241">
        <f t="shared" si="3"/>
        <v>9155836.2762122229</v>
      </c>
      <c r="I70" s="242"/>
      <c r="J70" s="240">
        <f t="shared" si="4"/>
        <v>9203861.2762122229</v>
      </c>
      <c r="K70" s="237">
        <v>-10887.5</v>
      </c>
      <c r="L70" s="237">
        <v>-37137.5</v>
      </c>
      <c r="M70" s="237"/>
      <c r="N70" s="237">
        <f t="shared" si="5"/>
        <v>9155836.2762122229</v>
      </c>
    </row>
    <row r="71" spans="1:14" x14ac:dyDescent="0.25">
      <c r="A71" s="238">
        <v>131310</v>
      </c>
      <c r="B71" s="238">
        <v>3074036</v>
      </c>
      <c r="C71" s="239" t="s">
        <v>114</v>
      </c>
      <c r="D71" s="240">
        <v>7858552.1669296389</v>
      </c>
      <c r="E71" s="241">
        <v>-10704.589999999998</v>
      </c>
      <c r="F71" s="241">
        <v>-36513.590000000004</v>
      </c>
      <c r="G71" s="241">
        <v>-135960</v>
      </c>
      <c r="H71" s="241">
        <f t="shared" si="3"/>
        <v>7675373.9869296392</v>
      </c>
      <c r="I71" s="242"/>
      <c r="J71" s="240">
        <f t="shared" si="4"/>
        <v>7722592.1669296389</v>
      </c>
      <c r="K71" s="237">
        <v>-10704.589999999998</v>
      </c>
      <c r="L71" s="237">
        <v>-36513.589999999997</v>
      </c>
      <c r="M71" s="237"/>
      <c r="N71" s="237">
        <f t="shared" si="5"/>
        <v>7675373.9869296392</v>
      </c>
    </row>
    <row r="72" spans="1:14" x14ac:dyDescent="0.25">
      <c r="A72" s="238">
        <v>101934</v>
      </c>
      <c r="B72" s="238">
        <v>3074603</v>
      </c>
      <c r="C72" s="239" t="s">
        <v>115</v>
      </c>
      <c r="D72" s="240">
        <v>9641817.5735451188</v>
      </c>
      <c r="E72" s="241">
        <v>-13265.329999999998</v>
      </c>
      <c r="F72" s="241">
        <v>-45248.33</v>
      </c>
      <c r="G72" s="241">
        <v>-33000</v>
      </c>
      <c r="H72" s="241">
        <f t="shared" si="3"/>
        <v>9550303.9135451186</v>
      </c>
      <c r="I72" s="242"/>
      <c r="J72" s="240">
        <f t="shared" si="4"/>
        <v>9608817.5735451188</v>
      </c>
      <c r="K72" s="237">
        <v>-13265.33</v>
      </c>
      <c r="L72" s="237">
        <v>-45248.33</v>
      </c>
      <c r="M72" s="237"/>
      <c r="N72" s="237">
        <f t="shared" si="5"/>
        <v>9550303.9135451186</v>
      </c>
    </row>
    <row r="73" spans="1:14" x14ac:dyDescent="0.25">
      <c r="A73" s="238">
        <v>101939</v>
      </c>
      <c r="B73" s="238">
        <v>3075400</v>
      </c>
      <c r="C73" s="239" t="s">
        <v>116</v>
      </c>
      <c r="D73" s="240">
        <v>9564595.2727952525</v>
      </c>
      <c r="E73" s="241">
        <v>-11593.009999999998</v>
      </c>
      <c r="F73" s="241">
        <v>-39544.01</v>
      </c>
      <c r="G73" s="241">
        <v>-56496</v>
      </c>
      <c r="H73" s="241">
        <f t="shared" si="3"/>
        <v>9456962.2527952529</v>
      </c>
      <c r="I73" s="242"/>
      <c r="J73" s="240">
        <f t="shared" si="4"/>
        <v>9508099.2727952525</v>
      </c>
      <c r="K73" s="237">
        <v>-11593.009999999998</v>
      </c>
      <c r="L73" s="237">
        <v>-39544.01</v>
      </c>
      <c r="M73" s="237"/>
      <c r="N73" s="237">
        <f t="shared" si="5"/>
        <v>9456962.2527952529</v>
      </c>
    </row>
    <row r="74" spans="1:14" x14ac:dyDescent="0.25">
      <c r="A74" s="238">
        <v>101940</v>
      </c>
      <c r="B74" s="238">
        <v>3075401</v>
      </c>
      <c r="C74" s="239" t="s">
        <v>117</v>
      </c>
      <c r="D74" s="240">
        <v>10362039.927802021</v>
      </c>
      <c r="E74" s="241">
        <v>-12472.72</v>
      </c>
      <c r="F74" s="241">
        <v>-42544.72</v>
      </c>
      <c r="G74" s="241">
        <v>-113377.22</v>
      </c>
      <c r="H74" s="241">
        <f t="shared" si="3"/>
        <v>10193645.267802019</v>
      </c>
      <c r="I74" s="242"/>
      <c r="J74" s="240">
        <f t="shared" si="4"/>
        <v>10248662.70780202</v>
      </c>
      <c r="K74" s="237">
        <v>-12472.72</v>
      </c>
      <c r="L74" s="237">
        <v>-42544.72</v>
      </c>
      <c r="M74" s="237"/>
      <c r="N74" s="237">
        <f t="shared" si="5"/>
        <v>10193645.267802019</v>
      </c>
    </row>
    <row r="75" spans="1:14" x14ac:dyDescent="0.25">
      <c r="A75" s="238">
        <v>101941</v>
      </c>
      <c r="B75" s="238">
        <v>3075402</v>
      </c>
      <c r="C75" s="239" t="s">
        <v>118</v>
      </c>
      <c r="D75" s="240">
        <v>7621566.1722559528</v>
      </c>
      <c r="E75" s="241">
        <v>-9371.9599999999991</v>
      </c>
      <c r="F75" s="241">
        <v>-31967.96</v>
      </c>
      <c r="G75" s="241">
        <v>-52008</v>
      </c>
      <c r="H75" s="241">
        <f t="shared" ref="H75:H76" si="6">SUM(D75:G75)</f>
        <v>7528218.2522559529</v>
      </c>
      <c r="I75" s="242"/>
      <c r="J75" s="240">
        <f t="shared" si="4"/>
        <v>7569558.1722559528</v>
      </c>
      <c r="K75" s="237">
        <v>-9371.9599999999991</v>
      </c>
      <c r="L75" s="237">
        <v>-31967.96</v>
      </c>
      <c r="M75" s="237"/>
      <c r="N75" s="237">
        <f t="shared" si="5"/>
        <v>7528218.2522559529</v>
      </c>
    </row>
    <row r="76" spans="1:14" x14ac:dyDescent="0.25">
      <c r="A76" s="238">
        <v>101943</v>
      </c>
      <c r="B76" s="238">
        <v>3075404</v>
      </c>
      <c r="C76" s="239" t="s">
        <v>119</v>
      </c>
      <c r="D76" s="240">
        <v>4959815.8554610796</v>
      </c>
      <c r="E76" s="241">
        <v>-5696.3399999999992</v>
      </c>
      <c r="F76" s="241">
        <v>-19430.34</v>
      </c>
      <c r="G76" s="241">
        <v>-29713.32</v>
      </c>
      <c r="H76" s="241">
        <f t="shared" si="6"/>
        <v>4904975.8554610796</v>
      </c>
      <c r="I76" s="242"/>
      <c r="J76" s="240">
        <f t="shared" si="4"/>
        <v>4930102.5354610793</v>
      </c>
      <c r="K76" s="237">
        <v>-5696.34</v>
      </c>
      <c r="L76" s="237">
        <v>-19430.34</v>
      </c>
      <c r="M76" s="237"/>
      <c r="N76" s="237">
        <f t="shared" si="5"/>
        <v>4904975.8554610796</v>
      </c>
    </row>
    <row r="77" spans="1:14" x14ac:dyDescent="0.25">
      <c r="D77" s="196"/>
      <c r="E77" s="196"/>
      <c r="F77" s="196"/>
      <c r="G77" s="196"/>
      <c r="H77" s="196"/>
      <c r="I77" s="196"/>
      <c r="J77" s="196"/>
    </row>
    <row r="78" spans="1:14" x14ac:dyDescent="0.25">
      <c r="A78" s="194" t="s">
        <v>321</v>
      </c>
      <c r="D78"/>
      <c r="E78"/>
      <c r="F78"/>
      <c r="G78"/>
      <c r="H78"/>
      <c r="I78"/>
      <c r="J78"/>
    </row>
    <row r="79" spans="1:14" x14ac:dyDescent="0.25">
      <c r="A79" s="238">
        <v>139699</v>
      </c>
      <c r="B79" s="238">
        <v>3072001</v>
      </c>
      <c r="C79" s="239" t="s">
        <v>127</v>
      </c>
      <c r="D79" s="240">
        <v>2103300.000419735</v>
      </c>
      <c r="E79" s="241">
        <v>0</v>
      </c>
      <c r="F79" s="241">
        <v>0</v>
      </c>
      <c r="G79" s="241">
        <v>-5740.4</v>
      </c>
      <c r="H79" s="241">
        <f t="shared" ref="H79:H96" si="7">SUM(D79:G79)</f>
        <v>2097559.6004197351</v>
      </c>
      <c r="I79" s="242"/>
      <c r="J79" s="240">
        <v>2103300.000419735</v>
      </c>
    </row>
    <row r="80" spans="1:14" x14ac:dyDescent="0.25">
      <c r="A80" s="238">
        <v>140963</v>
      </c>
      <c r="B80" s="238">
        <v>3072003</v>
      </c>
      <c r="C80" s="239" t="s">
        <v>128</v>
      </c>
      <c r="D80" s="240">
        <v>901002.31374683545</v>
      </c>
      <c r="E80" s="241">
        <v>0</v>
      </c>
      <c r="F80" s="241">
        <v>0</v>
      </c>
      <c r="G80" s="241">
        <v>-3835.4</v>
      </c>
      <c r="H80" s="241">
        <f t="shared" si="7"/>
        <v>897166.91374683543</v>
      </c>
      <c r="I80" s="242"/>
      <c r="J80" s="240">
        <v>901002.31374683545</v>
      </c>
    </row>
    <row r="81" spans="1:10" x14ac:dyDescent="0.25">
      <c r="A81" s="238">
        <v>142110</v>
      </c>
      <c r="B81" s="238">
        <v>3072004</v>
      </c>
      <c r="C81" s="239" t="s">
        <v>4</v>
      </c>
      <c r="D81" s="240">
        <v>2001265.5117644423</v>
      </c>
      <c r="E81" s="241">
        <v>0</v>
      </c>
      <c r="F81" s="241">
        <v>0</v>
      </c>
      <c r="G81" s="241">
        <v>-5740.4</v>
      </c>
      <c r="H81" s="241">
        <f t="shared" si="7"/>
        <v>1995525.1117644424</v>
      </c>
      <c r="I81" s="242"/>
      <c r="J81" s="240">
        <v>2001265.5117644423</v>
      </c>
    </row>
    <row r="82" spans="1:10" x14ac:dyDescent="0.25">
      <c r="A82" s="238">
        <v>143118</v>
      </c>
      <c r="B82" s="238">
        <v>3072010</v>
      </c>
      <c r="C82" s="239" t="s">
        <v>13</v>
      </c>
      <c r="D82" s="240">
        <v>1075294.474632951</v>
      </c>
      <c r="E82" s="241">
        <v>0</v>
      </c>
      <c r="F82" s="241">
        <v>0</v>
      </c>
      <c r="G82" s="241">
        <v>-8923.2000000000007</v>
      </c>
      <c r="H82" s="241">
        <f t="shared" si="7"/>
        <v>1066371.274632951</v>
      </c>
      <c r="I82" s="242"/>
      <c r="J82" s="240">
        <v>1075294.474632951</v>
      </c>
    </row>
    <row r="83" spans="1:10" x14ac:dyDescent="0.25">
      <c r="A83" s="238">
        <v>145406</v>
      </c>
      <c r="B83" s="238">
        <v>3072011</v>
      </c>
      <c r="C83" s="239" t="s">
        <v>129</v>
      </c>
      <c r="D83" s="240">
        <v>1768604.9697831436</v>
      </c>
      <c r="E83" s="241">
        <v>0</v>
      </c>
      <c r="F83" s="241">
        <v>0</v>
      </c>
      <c r="G83" s="241">
        <v>106.4</v>
      </c>
      <c r="H83" s="241">
        <f t="shared" si="7"/>
        <v>1768711.3697831435</v>
      </c>
      <c r="I83" s="242"/>
      <c r="J83" s="240">
        <v>1768604.9697831436</v>
      </c>
    </row>
    <row r="84" spans="1:10" x14ac:dyDescent="0.25">
      <c r="A84" s="238">
        <v>146265</v>
      </c>
      <c r="B84" s="238">
        <v>3072012</v>
      </c>
      <c r="C84" s="239" t="s">
        <v>130</v>
      </c>
      <c r="D84" s="240">
        <v>1014102.9776343672</v>
      </c>
      <c r="E84" s="241">
        <v>0</v>
      </c>
      <c r="F84" s="241">
        <v>0</v>
      </c>
      <c r="G84" s="241">
        <v>105.4</v>
      </c>
      <c r="H84" s="241">
        <f t="shared" si="7"/>
        <v>1014208.3776343672</v>
      </c>
      <c r="I84" s="242"/>
      <c r="J84" s="240">
        <v>1014102.9776343672</v>
      </c>
    </row>
    <row r="85" spans="1:10" x14ac:dyDescent="0.25">
      <c r="A85" s="238">
        <v>139488</v>
      </c>
      <c r="B85" s="238">
        <v>3072185</v>
      </c>
      <c r="C85" s="239" t="s">
        <v>131</v>
      </c>
      <c r="D85" s="240">
        <v>2231082.5663820799</v>
      </c>
      <c r="E85" s="241">
        <v>0</v>
      </c>
      <c r="F85" s="241">
        <v>0</v>
      </c>
      <c r="G85" s="241">
        <v>-8553.6</v>
      </c>
      <c r="H85" s="241">
        <f t="shared" si="7"/>
        <v>2222528.9663820798</v>
      </c>
      <c r="I85" s="242"/>
      <c r="J85" s="240">
        <v>2231082.5663820799</v>
      </c>
    </row>
    <row r="86" spans="1:10" x14ac:dyDescent="0.25">
      <c r="A86" s="238">
        <v>136737</v>
      </c>
      <c r="B86" s="238">
        <v>3075200</v>
      </c>
      <c r="C86" s="239" t="s">
        <v>277</v>
      </c>
      <c r="D86" s="240">
        <v>2098103.6205957443</v>
      </c>
      <c r="E86" s="241">
        <v>0</v>
      </c>
      <c r="F86" s="241">
        <v>0</v>
      </c>
      <c r="G86" s="241">
        <v>-19788</v>
      </c>
      <c r="H86" s="241">
        <f t="shared" si="7"/>
        <v>2078315.6205957443</v>
      </c>
      <c r="I86" s="242"/>
      <c r="J86" s="240">
        <v>2098103.6205957443</v>
      </c>
    </row>
    <row r="87" spans="1:10" x14ac:dyDescent="0.25">
      <c r="A87" s="238">
        <v>139725</v>
      </c>
      <c r="B87" s="238">
        <v>3074000</v>
      </c>
      <c r="C87" s="239" t="s">
        <v>132</v>
      </c>
      <c r="D87" s="240">
        <v>6531399.8297298662</v>
      </c>
      <c r="E87" s="241">
        <v>0</v>
      </c>
      <c r="F87" s="241">
        <v>0</v>
      </c>
      <c r="G87" s="241">
        <v>-68209.600000000006</v>
      </c>
      <c r="H87" s="241">
        <f t="shared" si="7"/>
        <v>6463190.2297298666</v>
      </c>
      <c r="I87" s="242"/>
      <c r="J87" s="240">
        <v>6531399.8297298662</v>
      </c>
    </row>
    <row r="88" spans="1:10" x14ac:dyDescent="0.25">
      <c r="A88" s="238">
        <v>142654</v>
      </c>
      <c r="B88" s="238">
        <v>3074001</v>
      </c>
      <c r="C88" s="239" t="s">
        <v>133</v>
      </c>
      <c r="D88" s="240">
        <v>4437448.4774357323</v>
      </c>
      <c r="E88" s="241">
        <v>0</v>
      </c>
      <c r="F88" s="241">
        <v>0</v>
      </c>
      <c r="G88" s="241">
        <v>-11128</v>
      </c>
      <c r="H88" s="241">
        <f t="shared" si="7"/>
        <v>4426320.4774357323</v>
      </c>
      <c r="I88" s="242"/>
      <c r="J88" s="240">
        <v>4437448.4774357323</v>
      </c>
    </row>
    <row r="89" spans="1:10" x14ac:dyDescent="0.25">
      <c r="A89" s="238">
        <v>145724</v>
      </c>
      <c r="B89" s="238">
        <v>3074002</v>
      </c>
      <c r="C89" s="239" t="s">
        <v>134</v>
      </c>
      <c r="D89" s="240">
        <v>5079973.6692260634</v>
      </c>
      <c r="E89" s="241">
        <v>0</v>
      </c>
      <c r="F89" s="241">
        <v>0</v>
      </c>
      <c r="G89" s="241">
        <v>-124914.56</v>
      </c>
      <c r="H89" s="241">
        <f t="shared" si="7"/>
        <v>4955059.1092260638</v>
      </c>
      <c r="I89" s="242"/>
      <c r="J89" s="240">
        <v>5079973.6692260634</v>
      </c>
    </row>
    <row r="90" spans="1:10" x14ac:dyDescent="0.25">
      <c r="A90" s="238">
        <v>146318</v>
      </c>
      <c r="B90" s="238">
        <v>3074007</v>
      </c>
      <c r="C90" s="239" t="s">
        <v>38</v>
      </c>
      <c r="D90" s="240">
        <v>6571474.1134996051</v>
      </c>
      <c r="E90" s="241">
        <v>0</v>
      </c>
      <c r="F90" s="241">
        <v>0</v>
      </c>
      <c r="G90" s="241">
        <v>-66427.22</v>
      </c>
      <c r="H90" s="241">
        <f t="shared" si="7"/>
        <v>6505046.8934996054</v>
      </c>
      <c r="I90" s="242"/>
      <c r="J90" s="240">
        <v>6571474.1134996051</v>
      </c>
    </row>
    <row r="91" spans="1:10" x14ac:dyDescent="0.25">
      <c r="A91" s="238">
        <v>147863</v>
      </c>
      <c r="B91" s="238">
        <v>3074008</v>
      </c>
      <c r="C91" s="239" t="s">
        <v>184</v>
      </c>
      <c r="D91" s="240">
        <v>2041934.6422273929</v>
      </c>
      <c r="E91" s="241">
        <v>0</v>
      </c>
      <c r="F91" s="241">
        <v>0</v>
      </c>
      <c r="G91" s="241">
        <v>0</v>
      </c>
      <c r="H91" s="241">
        <f t="shared" si="7"/>
        <v>2041934.6422273929</v>
      </c>
      <c r="I91" s="242"/>
      <c r="J91" s="240">
        <v>2041934.6422273929</v>
      </c>
    </row>
    <row r="92" spans="1:10" x14ac:dyDescent="0.25">
      <c r="A92" s="238">
        <v>145348</v>
      </c>
      <c r="B92" s="238">
        <v>3074030</v>
      </c>
      <c r="C92" s="239" t="s">
        <v>135</v>
      </c>
      <c r="D92" s="240">
        <v>8890227.1843839511</v>
      </c>
      <c r="E92" s="241">
        <v>0</v>
      </c>
      <c r="F92" s="241">
        <v>0</v>
      </c>
      <c r="G92" s="241">
        <v>-58991.199999999997</v>
      </c>
      <c r="H92" s="241">
        <f t="shared" si="7"/>
        <v>8831235.9843839519</v>
      </c>
      <c r="I92" s="242"/>
      <c r="J92" s="240">
        <v>8890227.1843839511</v>
      </c>
    </row>
    <row r="93" spans="1:10" x14ac:dyDescent="0.25">
      <c r="A93" s="238">
        <v>137729</v>
      </c>
      <c r="B93" s="238">
        <v>3074031</v>
      </c>
      <c r="C93" s="239" t="s">
        <v>136</v>
      </c>
      <c r="D93" s="240">
        <v>9608789.4210724272</v>
      </c>
      <c r="E93" s="241">
        <v>0</v>
      </c>
      <c r="F93" s="241">
        <v>0</v>
      </c>
      <c r="G93" s="241">
        <v>-47784</v>
      </c>
      <c r="H93" s="241">
        <f t="shared" si="7"/>
        <v>9561005.4210724272</v>
      </c>
      <c r="I93" s="242"/>
      <c r="J93" s="240">
        <v>9608789.4210724272</v>
      </c>
    </row>
    <row r="94" spans="1:10" x14ac:dyDescent="0.25">
      <c r="A94" s="238">
        <v>137546</v>
      </c>
      <c r="B94" s="238">
        <v>3074602</v>
      </c>
      <c r="C94" s="239" t="s">
        <v>137</v>
      </c>
      <c r="D94" s="240">
        <v>6202411.3222042592</v>
      </c>
      <c r="E94" s="241">
        <v>0</v>
      </c>
      <c r="F94" s="241">
        <v>0</v>
      </c>
      <c r="G94" s="241">
        <v>-38016</v>
      </c>
      <c r="H94" s="241">
        <f t="shared" si="7"/>
        <v>6164395.3222042592</v>
      </c>
      <c r="I94" s="242"/>
      <c r="J94" s="240">
        <v>6202411.3222042592</v>
      </c>
    </row>
    <row r="95" spans="1:10" x14ac:dyDescent="0.25">
      <c r="A95" s="238">
        <v>137221</v>
      </c>
      <c r="B95" s="238">
        <v>3075403</v>
      </c>
      <c r="C95" s="239" t="s">
        <v>138</v>
      </c>
      <c r="D95" s="240">
        <v>8103110.397763731</v>
      </c>
      <c r="E95" s="241">
        <v>0</v>
      </c>
      <c r="F95" s="241">
        <v>0</v>
      </c>
      <c r="G95" s="241">
        <v>-32726</v>
      </c>
      <c r="H95" s="241">
        <f t="shared" si="7"/>
        <v>8070384.397763731</v>
      </c>
      <c r="I95" s="242"/>
      <c r="J95" s="240">
        <v>8103110.397763731</v>
      </c>
    </row>
    <row r="96" spans="1:10" x14ac:dyDescent="0.25">
      <c r="A96" s="238">
        <v>134369</v>
      </c>
      <c r="B96" s="238">
        <v>3076905</v>
      </c>
      <c r="C96" s="239" t="s">
        <v>139</v>
      </c>
      <c r="D96" s="240">
        <v>9419913.2742818333</v>
      </c>
      <c r="E96" s="241">
        <v>0</v>
      </c>
      <c r="F96" s="241">
        <v>0</v>
      </c>
      <c r="G96" s="241">
        <v>-90816</v>
      </c>
      <c r="H96" s="241">
        <f t="shared" si="7"/>
        <v>9329097.2742818333</v>
      </c>
      <c r="I96" s="242"/>
      <c r="J96" s="240">
        <v>9419913.2742818333</v>
      </c>
    </row>
    <row r="99" spans="3:10" x14ac:dyDescent="0.25">
      <c r="C99" s="243" t="s">
        <v>322</v>
      </c>
      <c r="D99" s="244">
        <f>SUM(D79:D98)</f>
        <v>80079438.766784161</v>
      </c>
      <c r="E99" s="244">
        <f>SUM(E79:E98)</f>
        <v>0</v>
      </c>
      <c r="F99" s="244">
        <f>SUM(F79:F98)</f>
        <v>0</v>
      </c>
      <c r="G99" s="244">
        <f>SUM(G79:G98)</f>
        <v>-591381.78</v>
      </c>
      <c r="H99" s="244">
        <f>SUM(H79:H98)</f>
        <v>79488056.98678416</v>
      </c>
      <c r="I99" s="244"/>
      <c r="J99" s="244">
        <f>SUM(J79:J98)</f>
        <v>80079438.766784161</v>
      </c>
    </row>
    <row r="100" spans="3:10" x14ac:dyDescent="0.25">
      <c r="D100" s="244"/>
      <c r="E100" s="244"/>
      <c r="F100" s="244"/>
      <c r="G100" s="244"/>
      <c r="H100" s="244"/>
      <c r="I100" s="244"/>
      <c r="J100" s="244"/>
    </row>
    <row r="101" spans="3:10" x14ac:dyDescent="0.25">
      <c r="C101" t="s">
        <v>323</v>
      </c>
      <c r="D101" s="244">
        <v>272535270</v>
      </c>
      <c r="E101" s="244">
        <v>-537869</v>
      </c>
      <c r="F101" s="244">
        <v>-1011715</v>
      </c>
      <c r="G101" s="244">
        <v>3986096</v>
      </c>
      <c r="H101" s="244">
        <f>D101+E101+F101-G101</f>
        <v>266999590</v>
      </c>
      <c r="I101" s="244"/>
      <c r="J101" s="244">
        <v>2272535270</v>
      </c>
    </row>
    <row r="102" spans="3:10" x14ac:dyDescent="0.25">
      <c r="D102" s="244"/>
      <c r="E102" s="244"/>
      <c r="F102" s="244"/>
      <c r="G102" s="244"/>
      <c r="H102" s="244"/>
      <c r="I102" s="244"/>
      <c r="J102" s="244"/>
    </row>
    <row r="103" spans="3:10" x14ac:dyDescent="0.25">
      <c r="C103" t="s">
        <v>324</v>
      </c>
      <c r="D103" s="244">
        <f>D99+D10</f>
        <v>272535269.50636697</v>
      </c>
      <c r="E103" s="244">
        <f>E99+E10</f>
        <v>-537869.15</v>
      </c>
      <c r="F103" s="244">
        <f>F99+F10</f>
        <v>-1011714.6299999998</v>
      </c>
      <c r="G103" s="244">
        <f>G99+G10</f>
        <v>-3986096.1100000003</v>
      </c>
      <c r="H103" s="244">
        <f>H99+H10</f>
        <v>266999589.61636692</v>
      </c>
      <c r="I103" s="244"/>
      <c r="J103" s="244"/>
    </row>
    <row r="104" spans="3:10" x14ac:dyDescent="0.25">
      <c r="D104" s="244"/>
      <c r="E104" s="244"/>
      <c r="F104" s="244"/>
      <c r="G104" s="244"/>
      <c r="H104" s="244"/>
      <c r="I104" s="244"/>
      <c r="J104" s="244"/>
    </row>
    <row r="105" spans="3:10" x14ac:dyDescent="0.25">
      <c r="C105" t="s">
        <v>325</v>
      </c>
      <c r="D105" s="245">
        <f>D103-D101</f>
        <v>-0.49363303184509277</v>
      </c>
      <c r="E105" s="245">
        <f>E103-E101</f>
        <v>-0.15000000002328306</v>
      </c>
      <c r="F105" s="245">
        <f>F103-F101</f>
        <v>0.37000000022817403</v>
      </c>
      <c r="G105" s="245">
        <f>G101+G103</f>
        <v>-0.11000000033527613</v>
      </c>
      <c r="H105" s="245">
        <f>H103-H101</f>
        <v>-0.3836330771446228</v>
      </c>
      <c r="I105" s="244"/>
      <c r="J105" s="244"/>
    </row>
    <row r="106" spans="3:10" x14ac:dyDescent="0.25">
      <c r="D106" s="244"/>
      <c r="E106" s="244"/>
      <c r="F106" s="244"/>
      <c r="G106" s="244"/>
      <c r="H106" s="244"/>
      <c r="I106" s="244"/>
      <c r="J106" s="244"/>
    </row>
    <row r="107" spans="3:10" ht="15.75" thickBot="1" x14ac:dyDescent="0.3">
      <c r="C107" s="246" t="s">
        <v>326</v>
      </c>
    </row>
    <row r="108" spans="3:10" ht="15.75" thickTop="1" x14ac:dyDescent="0.25">
      <c r="C108" t="s">
        <v>327</v>
      </c>
      <c r="D108" s="247">
        <v>274247061</v>
      </c>
      <c r="G108" s="248" t="s">
        <v>328</v>
      </c>
      <c r="H108" s="249">
        <f>D110</f>
        <v>270260964.88999999</v>
      </c>
    </row>
    <row r="109" spans="3:10" x14ac:dyDescent="0.25">
      <c r="C109" t="s">
        <v>329</v>
      </c>
      <c r="D109" s="247">
        <v>3986096.1100000008</v>
      </c>
      <c r="G109" s="250" t="s">
        <v>322</v>
      </c>
      <c r="H109" s="251">
        <f>H99</f>
        <v>79488056.98678416</v>
      </c>
    </row>
    <row r="110" spans="3:10" x14ac:dyDescent="0.25">
      <c r="C110" t="s">
        <v>330</v>
      </c>
      <c r="D110" s="252">
        <v>270260964.88999999</v>
      </c>
      <c r="G110" s="250" t="s">
        <v>331</v>
      </c>
      <c r="H110" s="251">
        <f>H108-H109</f>
        <v>190772907.90321583</v>
      </c>
    </row>
    <row r="111" spans="3:10" x14ac:dyDescent="0.25">
      <c r="C111" t="s">
        <v>332</v>
      </c>
      <c r="D111" s="247"/>
      <c r="G111" s="250" t="s">
        <v>333</v>
      </c>
      <c r="H111" s="251">
        <f>-D108/100*0.5</f>
        <v>-1371235.3049999999</v>
      </c>
    </row>
    <row r="112" spans="3:10" x14ac:dyDescent="0.25">
      <c r="C112" t="s">
        <v>334</v>
      </c>
      <c r="D112" s="247"/>
      <c r="G112" s="250" t="s">
        <v>335</v>
      </c>
      <c r="H112" s="251">
        <f>-D126</f>
        <v>-1219226</v>
      </c>
    </row>
    <row r="113" spans="3:8" x14ac:dyDescent="0.25">
      <c r="C113" t="s">
        <v>336</v>
      </c>
      <c r="D113" s="247"/>
      <c r="G113" s="250" t="s">
        <v>337</v>
      </c>
      <c r="H113" s="251">
        <v>878669.81</v>
      </c>
    </row>
    <row r="114" spans="3:8" x14ac:dyDescent="0.25">
      <c r="C114" t="s">
        <v>338</v>
      </c>
      <c r="D114" s="247">
        <v>1371235.3049999999</v>
      </c>
      <c r="G114" s="250" t="s">
        <v>339</v>
      </c>
      <c r="H114" s="251">
        <f>SUM(H110:H113)</f>
        <v>189061116.40821582</v>
      </c>
    </row>
    <row r="115" spans="3:8" x14ac:dyDescent="0.25">
      <c r="C115" t="s">
        <v>340</v>
      </c>
      <c r="D115" s="247"/>
      <c r="G115" s="250"/>
      <c r="H115" s="253"/>
    </row>
    <row r="116" spans="3:8" x14ac:dyDescent="0.25">
      <c r="C116" t="s">
        <v>341</v>
      </c>
      <c r="D116" s="247">
        <v>878669.81</v>
      </c>
      <c r="G116" s="250" t="s">
        <v>342</v>
      </c>
      <c r="H116" s="251">
        <f>SUM(J10)</f>
        <v>189061116.40958273</v>
      </c>
    </row>
    <row r="117" spans="3:8" x14ac:dyDescent="0.25">
      <c r="D117" s="247"/>
      <c r="G117" s="250"/>
      <c r="H117" s="251"/>
    </row>
    <row r="118" spans="3:8" x14ac:dyDescent="0.25">
      <c r="C118" s="194" t="s">
        <v>343</v>
      </c>
      <c r="D118" s="254">
        <f>D110-D114+D116</f>
        <v>269768399.39499998</v>
      </c>
      <c r="G118" s="250" t="s">
        <v>344</v>
      </c>
      <c r="H118" s="255">
        <f>'Schools Version for Payments'!K78</f>
        <v>0</v>
      </c>
    </row>
    <row r="119" spans="3:8" x14ac:dyDescent="0.25">
      <c r="D119" s="247"/>
      <c r="G119" s="250" t="s">
        <v>345</v>
      </c>
      <c r="H119" s="255" t="e">
        <f>'Schools Version for Payments'!#REF!</f>
        <v>#REF!</v>
      </c>
    </row>
    <row r="120" spans="3:8" x14ac:dyDescent="0.25">
      <c r="D120" s="247"/>
      <c r="G120" s="250" t="s">
        <v>346</v>
      </c>
      <c r="H120" s="251" t="e">
        <f>H116+H118+H119</f>
        <v>#REF!</v>
      </c>
    </row>
    <row r="121" spans="3:8" ht="15.75" thickBot="1" x14ac:dyDescent="0.3">
      <c r="E121" s="256"/>
      <c r="G121" s="257"/>
      <c r="H121" s="258"/>
    </row>
    <row r="122" spans="3:8" ht="15.75" thickTop="1" x14ac:dyDescent="0.25">
      <c r="D122" s="247"/>
      <c r="E122" s="256"/>
    </row>
    <row r="123" spans="3:8" x14ac:dyDescent="0.25">
      <c r="C123" t="s">
        <v>347</v>
      </c>
      <c r="D123" s="247" t="s">
        <v>348</v>
      </c>
    </row>
    <row r="124" spans="3:8" x14ac:dyDescent="0.25">
      <c r="C124" t="s">
        <v>349</v>
      </c>
      <c r="D124" s="259">
        <v>272535269.50636685</v>
      </c>
      <c r="E124" s="193" t="s">
        <v>350</v>
      </c>
    </row>
    <row r="125" spans="3:8" x14ac:dyDescent="0.25">
      <c r="C125" t="s">
        <v>351</v>
      </c>
      <c r="D125" s="259">
        <v>3986096.1100000008</v>
      </c>
    </row>
    <row r="126" spans="3:8" x14ac:dyDescent="0.25">
      <c r="C126" t="s">
        <v>352</v>
      </c>
      <c r="D126" s="247">
        <v>1219226</v>
      </c>
    </row>
    <row r="127" spans="3:8" x14ac:dyDescent="0.25">
      <c r="C127" t="s">
        <v>353</v>
      </c>
      <c r="D127" s="247">
        <v>0</v>
      </c>
    </row>
    <row r="128" spans="3:8" x14ac:dyDescent="0.25">
      <c r="C128" t="s">
        <v>354</v>
      </c>
      <c r="D128" s="247">
        <v>269768399.39636683</v>
      </c>
      <c r="E128" s="244"/>
      <c r="F128" s="247"/>
    </row>
    <row r="129" spans="3:4" x14ac:dyDescent="0.25">
      <c r="C129" t="s">
        <v>355</v>
      </c>
      <c r="D129" s="247">
        <v>1.3668537139892578E-3</v>
      </c>
    </row>
    <row r="130" spans="3:4" x14ac:dyDescent="0.25">
      <c r="D130" s="247"/>
    </row>
    <row r="131" spans="3:4" x14ac:dyDescent="0.25">
      <c r="C131" t="s">
        <v>356</v>
      </c>
      <c r="D131" s="247">
        <v>-492565.49363315105</v>
      </c>
    </row>
    <row r="133" spans="3:4" x14ac:dyDescent="0.25">
      <c r="D133" s="260"/>
    </row>
  </sheetData>
  <mergeCells count="1">
    <mergeCell ref="A10:C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CB66E-09B5-4426-96F3-2F7F95E31F3B}">
  <dimension ref="A1:U35"/>
  <sheetViews>
    <sheetView workbookViewId="0">
      <selection activeCell="U12" sqref="U12:U14"/>
    </sheetView>
  </sheetViews>
  <sheetFormatPr defaultRowHeight="15" x14ac:dyDescent="0.25"/>
  <cols>
    <col min="1" max="1" width="21.42578125" customWidth="1"/>
    <col min="2" max="2" width="17.85546875" customWidth="1"/>
    <col min="3" max="3" width="10.42578125" customWidth="1"/>
    <col min="9" max="10" width="9.85546875" bestFit="1" customWidth="1"/>
    <col min="12" max="12" width="21.42578125" customWidth="1"/>
    <col min="13" max="13" width="17.85546875" customWidth="1"/>
    <col min="14" max="14" width="10.42578125" customWidth="1"/>
    <col min="20" max="21" width="9.85546875" bestFit="1" customWidth="1"/>
  </cols>
  <sheetData>
    <row r="1" spans="1:21" ht="38.25" x14ac:dyDescent="0.25">
      <c r="A1" s="197" t="s">
        <v>294</v>
      </c>
      <c r="B1" s="197" t="s">
        <v>295</v>
      </c>
      <c r="C1" s="197" t="s">
        <v>296</v>
      </c>
      <c r="D1" s="197" t="s">
        <v>297</v>
      </c>
      <c r="E1" s="197" t="s">
        <v>298</v>
      </c>
      <c r="F1" s="197" t="s">
        <v>299</v>
      </c>
      <c r="G1" s="197" t="s">
        <v>300</v>
      </c>
      <c r="H1" s="198" t="s">
        <v>301</v>
      </c>
      <c r="I1" s="303" t="s">
        <v>302</v>
      </c>
      <c r="J1" s="304"/>
      <c r="L1" s="197" t="s">
        <v>294</v>
      </c>
      <c r="M1" s="197" t="s">
        <v>295</v>
      </c>
      <c r="N1" s="197" t="s">
        <v>296</v>
      </c>
      <c r="O1" s="197" t="s">
        <v>297</v>
      </c>
      <c r="P1" s="197" t="s">
        <v>298</v>
      </c>
      <c r="Q1" s="197" t="s">
        <v>299</v>
      </c>
      <c r="R1" s="197" t="s">
        <v>300</v>
      </c>
      <c r="S1" s="198" t="s">
        <v>301</v>
      </c>
      <c r="T1" s="303" t="s">
        <v>302</v>
      </c>
      <c r="U1" s="304"/>
    </row>
    <row r="2" spans="1:21" x14ac:dyDescent="0.25">
      <c r="A2" s="305" t="s">
        <v>278</v>
      </c>
      <c r="B2" s="305">
        <v>3077005</v>
      </c>
      <c r="C2" s="199" t="s">
        <v>279</v>
      </c>
      <c r="D2" s="199">
        <v>15</v>
      </c>
      <c r="E2" s="199"/>
      <c r="F2" s="199">
        <v>16</v>
      </c>
      <c r="G2" s="199"/>
      <c r="H2" s="200">
        <v>20979.462500000001</v>
      </c>
      <c r="I2" s="200">
        <f>((D2*H2)/12*5)+((F2*H2)/12*7)</f>
        <v>326929.95729166665</v>
      </c>
      <c r="J2" s="306">
        <f>SUM(I2:I5)</f>
        <v>3155242.6364583336</v>
      </c>
      <c r="L2" s="305" t="s">
        <v>278</v>
      </c>
      <c r="M2" s="305">
        <v>3077005</v>
      </c>
      <c r="N2" s="199" t="s">
        <v>279</v>
      </c>
      <c r="O2" s="199">
        <v>15</v>
      </c>
      <c r="P2" s="199"/>
      <c r="Q2" s="199">
        <v>16</v>
      </c>
      <c r="R2" s="199"/>
      <c r="S2" s="200">
        <v>20979.462500000001</v>
      </c>
      <c r="T2" s="200">
        <f>((O2*S2)/12*5)+((Q2*S2)/12*7)</f>
        <v>326929.95729166665</v>
      </c>
      <c r="U2" s="306">
        <f>SUM(T2:T5)</f>
        <v>3155242.6364583336</v>
      </c>
    </row>
    <row r="3" spans="1:21" x14ac:dyDescent="0.25">
      <c r="A3" s="305"/>
      <c r="B3" s="305"/>
      <c r="C3" s="201" t="s">
        <v>280</v>
      </c>
      <c r="D3" s="201">
        <v>77</v>
      </c>
      <c r="E3" s="201"/>
      <c r="F3" s="201">
        <v>83</v>
      </c>
      <c r="G3" s="201"/>
      <c r="H3" s="202">
        <v>16073.9</v>
      </c>
      <c r="I3" s="202">
        <f t="shared" ref="I3:I5" si="0">((D3*H3)/12*5)+((F3*H3)/12*7)</f>
        <v>1293948.95</v>
      </c>
      <c r="J3" s="306"/>
      <c r="L3" s="305"/>
      <c r="M3" s="305"/>
      <c r="N3" s="201" t="s">
        <v>280</v>
      </c>
      <c r="O3" s="201">
        <v>77</v>
      </c>
      <c r="P3" s="201"/>
      <c r="Q3" s="201">
        <v>83</v>
      </c>
      <c r="R3" s="201"/>
      <c r="S3" s="202">
        <v>16073.9</v>
      </c>
      <c r="T3" s="202">
        <f t="shared" ref="T3:T5" si="1">((O3*S3)/12*5)+((Q3*S3)/12*7)</f>
        <v>1293948.95</v>
      </c>
      <c r="U3" s="306"/>
    </row>
    <row r="4" spans="1:21" x14ac:dyDescent="0.25">
      <c r="A4" s="305"/>
      <c r="B4" s="305"/>
      <c r="C4" s="201" t="s">
        <v>281</v>
      </c>
      <c r="D4" s="201">
        <v>58</v>
      </c>
      <c r="E4" s="201"/>
      <c r="F4" s="201">
        <v>62</v>
      </c>
      <c r="G4" s="201"/>
      <c r="H4" s="202">
        <v>13687.4375</v>
      </c>
      <c r="I4" s="202">
        <f t="shared" si="0"/>
        <v>825808.72916666674</v>
      </c>
      <c r="J4" s="306"/>
      <c r="L4" s="305"/>
      <c r="M4" s="305"/>
      <c r="N4" s="201" t="s">
        <v>281</v>
      </c>
      <c r="O4" s="201">
        <v>58</v>
      </c>
      <c r="P4" s="201"/>
      <c r="Q4" s="201">
        <v>62</v>
      </c>
      <c r="R4" s="201"/>
      <c r="S4" s="202">
        <v>13687.4375</v>
      </c>
      <c r="T4" s="202">
        <f t="shared" si="1"/>
        <v>825808.72916666674</v>
      </c>
      <c r="U4" s="306"/>
    </row>
    <row r="5" spans="1:21" x14ac:dyDescent="0.25">
      <c r="A5" s="305"/>
      <c r="B5" s="305"/>
      <c r="C5" s="203" t="s">
        <v>282</v>
      </c>
      <c r="D5" s="203">
        <v>60</v>
      </c>
      <c r="E5" s="203"/>
      <c r="F5" s="203">
        <v>60</v>
      </c>
      <c r="G5" s="203"/>
      <c r="H5" s="204">
        <v>11809.25</v>
      </c>
      <c r="I5" s="204">
        <f t="shared" si="0"/>
        <v>708555</v>
      </c>
      <c r="J5" s="306"/>
      <c r="L5" s="305"/>
      <c r="M5" s="305"/>
      <c r="N5" s="203" t="s">
        <v>282</v>
      </c>
      <c r="O5" s="203">
        <v>60</v>
      </c>
      <c r="P5" s="203"/>
      <c r="Q5" s="203">
        <v>60</v>
      </c>
      <c r="R5" s="203"/>
      <c r="S5" s="204">
        <v>11809.25</v>
      </c>
      <c r="T5" s="204">
        <f t="shared" si="1"/>
        <v>708555</v>
      </c>
      <c r="U5" s="306"/>
    </row>
    <row r="6" spans="1:21" x14ac:dyDescent="0.25">
      <c r="A6" s="299" t="s">
        <v>6</v>
      </c>
      <c r="B6" s="299">
        <v>3077007</v>
      </c>
      <c r="C6" s="205" t="s">
        <v>283</v>
      </c>
      <c r="D6" s="205">
        <v>16</v>
      </c>
      <c r="E6" s="205">
        <v>17</v>
      </c>
      <c r="F6" s="205"/>
      <c r="G6" s="205"/>
      <c r="H6" s="206">
        <v>20979.462500000001</v>
      </c>
      <c r="I6" s="206">
        <f>((D6*H6)/12*2)+((E6*H6)/12*10)</f>
        <v>353154.28541666671</v>
      </c>
      <c r="J6" s="300">
        <f>SUM(I6:I8)</f>
        <v>2644741.4937499994</v>
      </c>
      <c r="L6" s="299" t="s">
        <v>6</v>
      </c>
      <c r="M6" s="299">
        <v>3077007</v>
      </c>
      <c r="N6" s="205" t="s">
        <v>283</v>
      </c>
      <c r="O6" s="205">
        <v>16</v>
      </c>
      <c r="P6" s="205">
        <v>17</v>
      </c>
      <c r="Q6" s="205"/>
      <c r="R6" s="205"/>
      <c r="S6" s="206">
        <v>20979.462500000001</v>
      </c>
      <c r="T6" s="206">
        <f>((O6*S6)/12*2)+((P6*S6)/12*10)</f>
        <v>353154.28541666671</v>
      </c>
      <c r="U6" s="300">
        <f>SUM(T6:T8)</f>
        <v>2644741.4937499994</v>
      </c>
    </row>
    <row r="7" spans="1:21" x14ac:dyDescent="0.25">
      <c r="A7" s="299"/>
      <c r="B7" s="299"/>
      <c r="C7" s="207" t="s">
        <v>284</v>
      </c>
      <c r="D7" s="207">
        <v>85</v>
      </c>
      <c r="E7" s="207">
        <v>88</v>
      </c>
      <c r="F7" s="207"/>
      <c r="G7" s="207"/>
      <c r="H7" s="208">
        <v>16073.9</v>
      </c>
      <c r="I7" s="208">
        <f t="shared" ref="I7:I8" si="2">((D7*H7)/12*2)+((E7*H7)/12*10)</f>
        <v>1406466.2499999998</v>
      </c>
      <c r="J7" s="300"/>
      <c r="L7" s="299"/>
      <c r="M7" s="299"/>
      <c r="N7" s="207" t="s">
        <v>284</v>
      </c>
      <c r="O7" s="207">
        <v>85</v>
      </c>
      <c r="P7" s="207">
        <v>88</v>
      </c>
      <c r="Q7" s="207"/>
      <c r="R7" s="207"/>
      <c r="S7" s="208">
        <v>16073.9</v>
      </c>
      <c r="T7" s="208">
        <f t="shared" ref="T7:T8" si="3">((O7*S7)/12*2)+((P7*S7)/12*10)</f>
        <v>1406466.2499999998</v>
      </c>
      <c r="U7" s="300"/>
    </row>
    <row r="8" spans="1:21" x14ac:dyDescent="0.25">
      <c r="A8" s="299"/>
      <c r="B8" s="299"/>
      <c r="C8" s="209" t="s">
        <v>285</v>
      </c>
      <c r="D8" s="209">
        <v>63</v>
      </c>
      <c r="E8" s="209">
        <v>65</v>
      </c>
      <c r="F8" s="209"/>
      <c r="G8" s="209"/>
      <c r="H8" s="210">
        <v>13687.4375</v>
      </c>
      <c r="I8" s="210">
        <f t="shared" si="2"/>
        <v>885120.95833333326</v>
      </c>
      <c r="J8" s="300"/>
      <c r="L8" s="299"/>
      <c r="M8" s="299"/>
      <c r="N8" s="209" t="s">
        <v>285</v>
      </c>
      <c r="O8" s="209">
        <v>63</v>
      </c>
      <c r="P8" s="209">
        <v>65</v>
      </c>
      <c r="Q8" s="209"/>
      <c r="R8" s="209"/>
      <c r="S8" s="210">
        <v>13687.4375</v>
      </c>
      <c r="T8" s="210">
        <f t="shared" si="3"/>
        <v>885120.95833333326</v>
      </c>
      <c r="U8" s="300"/>
    </row>
    <row r="9" spans="1:21" x14ac:dyDescent="0.25">
      <c r="A9" s="211" t="s">
        <v>8</v>
      </c>
      <c r="B9" s="211">
        <v>3077012</v>
      </c>
      <c r="C9" s="212" t="s">
        <v>283</v>
      </c>
      <c r="D9" s="212">
        <v>132</v>
      </c>
      <c r="E9" s="212"/>
      <c r="F9" s="212">
        <v>133</v>
      </c>
      <c r="G9" s="212"/>
      <c r="H9" s="213">
        <v>16237.924999999999</v>
      </c>
      <c r="I9" s="213">
        <f>((D9*H9)/12*5)+((F9*H9)/12*7)</f>
        <v>2152878.2229166669</v>
      </c>
      <c r="J9" s="213">
        <f>I9</f>
        <v>2152878.2229166669</v>
      </c>
      <c r="L9" s="214" t="s">
        <v>8</v>
      </c>
      <c r="M9" s="214">
        <v>3077012</v>
      </c>
      <c r="N9" s="212" t="s">
        <v>283</v>
      </c>
      <c r="O9" s="212">
        <v>132</v>
      </c>
      <c r="P9" s="212"/>
      <c r="Q9" s="212">
        <v>133</v>
      </c>
      <c r="R9" s="212"/>
      <c r="S9" s="215">
        <v>16237.924999999999</v>
      </c>
      <c r="T9" s="215">
        <f>((O9*S9)/12*5)+((Q9*S9)/12*7)</f>
        <v>2152878.2229166669</v>
      </c>
      <c r="U9" s="215">
        <f>T9</f>
        <v>2152878.2229166669</v>
      </c>
    </row>
    <row r="10" spans="1:21" x14ac:dyDescent="0.25">
      <c r="A10" s="299" t="s">
        <v>286</v>
      </c>
      <c r="B10" s="299">
        <v>3077010</v>
      </c>
      <c r="C10" s="205" t="s">
        <v>283</v>
      </c>
      <c r="D10" s="205">
        <v>36</v>
      </c>
      <c r="E10" s="205"/>
      <c r="F10" s="205"/>
      <c r="G10" s="205"/>
      <c r="H10" s="206">
        <v>24439.174999999999</v>
      </c>
      <c r="I10" s="206">
        <f t="shared" ref="I10:I17" si="4">D10*H10</f>
        <v>879810.29999999993</v>
      </c>
      <c r="J10" s="300">
        <f>SUM(I10:I11)</f>
        <v>3113292.5750000002</v>
      </c>
      <c r="L10" s="299" t="s">
        <v>286</v>
      </c>
      <c r="M10" s="299">
        <v>3077010</v>
      </c>
      <c r="N10" s="205" t="s">
        <v>283</v>
      </c>
      <c r="O10" s="205">
        <v>36</v>
      </c>
      <c r="P10" s="205"/>
      <c r="Q10" s="205"/>
      <c r="R10" s="205"/>
      <c r="S10" s="206">
        <v>24439.174999999999</v>
      </c>
      <c r="T10" s="206">
        <f t="shared" ref="T10:T17" si="5">O10*S10</f>
        <v>879810.29999999993</v>
      </c>
      <c r="U10" s="300">
        <f>SUM(T10:T11)</f>
        <v>3113292.5750000002</v>
      </c>
    </row>
    <row r="11" spans="1:21" x14ac:dyDescent="0.25">
      <c r="A11" s="299"/>
      <c r="B11" s="299"/>
      <c r="C11" s="209" t="s">
        <v>284</v>
      </c>
      <c r="D11" s="209">
        <v>106</v>
      </c>
      <c r="E11" s="209"/>
      <c r="F11" s="209"/>
      <c r="G11" s="209"/>
      <c r="H11" s="210">
        <v>21070.587500000001</v>
      </c>
      <c r="I11" s="210">
        <f t="shared" si="4"/>
        <v>2233482.2750000004</v>
      </c>
      <c r="J11" s="300"/>
      <c r="L11" s="299"/>
      <c r="M11" s="299"/>
      <c r="N11" s="209" t="s">
        <v>284</v>
      </c>
      <c r="O11" s="209">
        <v>106</v>
      </c>
      <c r="P11" s="209"/>
      <c r="Q11" s="209"/>
      <c r="R11" s="209"/>
      <c r="S11" s="210">
        <v>21070.587500000001</v>
      </c>
      <c r="T11" s="210">
        <f t="shared" si="5"/>
        <v>2233482.2750000004</v>
      </c>
      <c r="U11" s="300"/>
    </row>
    <row r="12" spans="1:21" x14ac:dyDescent="0.25">
      <c r="A12" s="301" t="s">
        <v>11</v>
      </c>
      <c r="B12" s="301">
        <v>3077013</v>
      </c>
      <c r="C12" s="199" t="s">
        <v>287</v>
      </c>
      <c r="D12" s="199">
        <v>130</v>
      </c>
      <c r="E12" s="199"/>
      <c r="F12" s="199"/>
      <c r="G12" s="199"/>
      <c r="H12" s="200">
        <v>18586.924999999999</v>
      </c>
      <c r="I12" s="200">
        <f t="shared" si="4"/>
        <v>2416300.25</v>
      </c>
      <c r="J12" s="302">
        <f>SUM(I12:I14)</f>
        <v>2767844</v>
      </c>
      <c r="L12" s="301" t="s">
        <v>11</v>
      </c>
      <c r="M12" s="301">
        <v>3077013</v>
      </c>
      <c r="N12" s="199" t="s">
        <v>287</v>
      </c>
      <c r="O12" s="199">
        <v>130</v>
      </c>
      <c r="P12" s="199"/>
      <c r="Q12" s="199"/>
      <c r="R12" s="199"/>
      <c r="S12" s="200">
        <v>18586.924999999999</v>
      </c>
      <c r="T12" s="200">
        <f t="shared" si="5"/>
        <v>2416300.25</v>
      </c>
      <c r="U12" s="302">
        <f>SUM(T12:T14)</f>
        <v>2771237.75</v>
      </c>
    </row>
    <row r="13" spans="1:21" x14ac:dyDescent="0.25">
      <c r="A13" s="301"/>
      <c r="B13" s="301"/>
      <c r="C13" s="201" t="s">
        <v>288</v>
      </c>
      <c r="D13" s="201">
        <v>15</v>
      </c>
      <c r="E13" s="201"/>
      <c r="F13" s="201"/>
      <c r="G13" s="201"/>
      <c r="H13" s="202">
        <v>15312.5</v>
      </c>
      <c r="I13" s="202">
        <f t="shared" si="4"/>
        <v>229687.5</v>
      </c>
      <c r="J13" s="302"/>
      <c r="L13" s="301"/>
      <c r="M13" s="301"/>
      <c r="N13" s="201" t="s">
        <v>288</v>
      </c>
      <c r="O13" s="201">
        <v>15</v>
      </c>
      <c r="P13" s="201"/>
      <c r="Q13" s="201"/>
      <c r="R13" s="201"/>
      <c r="S13" s="202">
        <v>15312.5</v>
      </c>
      <c r="T13" s="202">
        <f t="shared" si="5"/>
        <v>229687.5</v>
      </c>
      <c r="U13" s="302"/>
    </row>
    <row r="14" spans="1:21" x14ac:dyDescent="0.25">
      <c r="A14" s="301"/>
      <c r="B14" s="301"/>
      <c r="C14" s="203" t="s">
        <v>289</v>
      </c>
      <c r="D14" s="203">
        <v>15</v>
      </c>
      <c r="E14" s="203"/>
      <c r="F14" s="203"/>
      <c r="G14" s="203"/>
      <c r="H14" s="204">
        <v>8123.75</v>
      </c>
      <c r="I14" s="204">
        <f t="shared" si="4"/>
        <v>121856.25</v>
      </c>
      <c r="J14" s="302"/>
      <c r="L14" s="301"/>
      <c r="M14" s="301"/>
      <c r="N14" s="203" t="s">
        <v>289</v>
      </c>
      <c r="O14" s="203">
        <v>15</v>
      </c>
      <c r="P14" s="203"/>
      <c r="Q14" s="203"/>
      <c r="R14" s="203"/>
      <c r="S14" s="204">
        <v>8350</v>
      </c>
      <c r="T14" s="204">
        <f t="shared" si="5"/>
        <v>125250</v>
      </c>
      <c r="U14" s="302"/>
    </row>
    <row r="15" spans="1:21" x14ac:dyDescent="0.25">
      <c r="A15" s="299" t="s">
        <v>290</v>
      </c>
      <c r="B15" s="299">
        <v>3077014</v>
      </c>
      <c r="C15" s="205" t="s">
        <v>291</v>
      </c>
      <c r="D15" s="205">
        <v>26</v>
      </c>
      <c r="E15" s="205"/>
      <c r="F15" s="205"/>
      <c r="G15" s="205"/>
      <c r="H15" s="206">
        <v>36878.75</v>
      </c>
      <c r="I15" s="206">
        <f t="shared" si="4"/>
        <v>958847.5</v>
      </c>
      <c r="J15" s="300">
        <f>SUM(I15:I17)</f>
        <v>2921853.5125000002</v>
      </c>
      <c r="L15" s="299" t="s">
        <v>290</v>
      </c>
      <c r="M15" s="299">
        <v>3077014</v>
      </c>
      <c r="N15" s="205" t="s">
        <v>291</v>
      </c>
      <c r="O15" s="205">
        <v>26</v>
      </c>
      <c r="P15" s="205"/>
      <c r="Q15" s="205"/>
      <c r="R15" s="205"/>
      <c r="S15" s="206">
        <v>36878.75</v>
      </c>
      <c r="T15" s="206">
        <f t="shared" si="5"/>
        <v>958847.5</v>
      </c>
      <c r="U15" s="300">
        <f>SUM(T15:T17)</f>
        <v>2921853.5125000002</v>
      </c>
    </row>
    <row r="16" spans="1:21" x14ac:dyDescent="0.25">
      <c r="A16" s="299"/>
      <c r="B16" s="299"/>
      <c r="C16" s="207" t="s">
        <v>292</v>
      </c>
      <c r="D16" s="207">
        <v>59</v>
      </c>
      <c r="E16" s="207"/>
      <c r="F16" s="207"/>
      <c r="G16" s="207"/>
      <c r="H16" s="208">
        <v>24439.174999999999</v>
      </c>
      <c r="I16" s="208">
        <f t="shared" si="4"/>
        <v>1441911.325</v>
      </c>
      <c r="J16" s="300"/>
      <c r="L16" s="299"/>
      <c r="M16" s="299"/>
      <c r="N16" s="207" t="s">
        <v>292</v>
      </c>
      <c r="O16" s="207">
        <v>59</v>
      </c>
      <c r="P16" s="207"/>
      <c r="Q16" s="207"/>
      <c r="R16" s="207"/>
      <c r="S16" s="208">
        <v>24439.174999999999</v>
      </c>
      <c r="T16" s="208">
        <f t="shared" si="5"/>
        <v>1441911.325</v>
      </c>
      <c r="U16" s="300"/>
    </row>
    <row r="17" spans="1:21" x14ac:dyDescent="0.25">
      <c r="A17" s="299"/>
      <c r="B17" s="299"/>
      <c r="C17" s="209" t="s">
        <v>293</v>
      </c>
      <c r="D17" s="209">
        <v>25</v>
      </c>
      <c r="E17" s="209"/>
      <c r="F17" s="209"/>
      <c r="G17" s="209"/>
      <c r="H17" s="210">
        <v>20843.787499999999</v>
      </c>
      <c r="I17" s="210">
        <f t="shared" si="4"/>
        <v>521094.68749999994</v>
      </c>
      <c r="J17" s="300"/>
      <c r="L17" s="299"/>
      <c r="M17" s="299"/>
      <c r="N17" s="209" t="s">
        <v>293</v>
      </c>
      <c r="O17" s="209">
        <v>25</v>
      </c>
      <c r="P17" s="209"/>
      <c r="Q17" s="209"/>
      <c r="R17" s="209"/>
      <c r="S17" s="210">
        <v>20843.787499999999</v>
      </c>
      <c r="T17" s="210">
        <f t="shared" si="5"/>
        <v>521094.68749999994</v>
      </c>
      <c r="U17" s="300"/>
    </row>
    <row r="18" spans="1:21" x14ac:dyDescent="0.25">
      <c r="A18" s="211" t="s">
        <v>271</v>
      </c>
      <c r="B18" s="211">
        <v>3072161</v>
      </c>
      <c r="C18" s="216"/>
      <c r="D18" s="212">
        <v>14</v>
      </c>
      <c r="E18" s="212"/>
      <c r="F18" s="212"/>
      <c r="G18" s="212"/>
      <c r="H18" s="213">
        <f>VLOOKUP(B18,'[1]Detailed funding 2022-23'!$C:$CE,81,FALSE)</f>
        <v>12529.55903345224</v>
      </c>
      <c r="I18" s="213">
        <f>D18*H18</f>
        <v>175413.82646833136</v>
      </c>
      <c r="J18" s="217"/>
      <c r="L18" s="214" t="s">
        <v>271</v>
      </c>
      <c r="M18" s="214">
        <v>3072161</v>
      </c>
      <c r="N18" s="216"/>
      <c r="O18" s="212">
        <v>14</v>
      </c>
      <c r="P18" s="212"/>
      <c r="Q18" s="212"/>
      <c r="R18" s="212"/>
      <c r="S18" s="215">
        <f>VLOOKUP(M18,'[1]Detailed funding 2022-23'!$C:$CE,81,FALSE)</f>
        <v>12529.55903345224</v>
      </c>
      <c r="T18" s="215">
        <f>O18*S18</f>
        <v>175413.82646833136</v>
      </c>
      <c r="U18" s="217"/>
    </row>
    <row r="19" spans="1:21" x14ac:dyDescent="0.25">
      <c r="A19" s="211" t="s">
        <v>186</v>
      </c>
      <c r="B19" s="211">
        <v>3072083</v>
      </c>
      <c r="C19" s="216"/>
      <c r="D19" s="212">
        <v>28</v>
      </c>
      <c r="E19" s="212"/>
      <c r="F19" s="212"/>
      <c r="G19" s="212"/>
      <c r="H19" s="213">
        <f>VLOOKUP(B19,'[1]Detailed funding 2022-23'!$C:$CE,81,FALSE)</f>
        <v>5904.9393720206353</v>
      </c>
      <c r="I19" s="213">
        <f>D19*H19</f>
        <v>165338.30241657779</v>
      </c>
      <c r="J19" s="217"/>
      <c r="L19" s="214" t="s">
        <v>186</v>
      </c>
      <c r="M19" s="214">
        <v>3072083</v>
      </c>
      <c r="N19" s="216"/>
      <c r="O19" s="212">
        <v>28</v>
      </c>
      <c r="P19" s="212"/>
      <c r="Q19" s="212"/>
      <c r="R19" s="212"/>
      <c r="S19" s="215">
        <f>VLOOKUP(M19,'[1]Detailed funding 2022-23'!$C:$CE,81,FALSE)</f>
        <v>5904.9393720206353</v>
      </c>
      <c r="T19" s="215">
        <f>O19*S19</f>
        <v>165338.30241657779</v>
      </c>
      <c r="U19" s="217"/>
    </row>
    <row r="20" spans="1:21" x14ac:dyDescent="0.25">
      <c r="A20" s="211" t="s">
        <v>272</v>
      </c>
      <c r="B20" s="211">
        <v>3072088</v>
      </c>
      <c r="C20" s="216"/>
      <c r="D20" s="212">
        <v>35</v>
      </c>
      <c r="E20" s="212"/>
      <c r="F20" s="212"/>
      <c r="G20" s="212"/>
      <c r="H20" s="213">
        <f>VLOOKUP(B20,'[1]Detailed funding 2022-23'!$C:$CE,81,FALSE)</f>
        <v>5822.2147040761483</v>
      </c>
      <c r="I20" s="213">
        <f t="shared" ref="I20:I21" si="6">D20*H20</f>
        <v>203777.51464266519</v>
      </c>
      <c r="J20" s="217"/>
      <c r="L20" s="214" t="s">
        <v>272</v>
      </c>
      <c r="M20" s="214">
        <v>3072088</v>
      </c>
      <c r="N20" s="216"/>
      <c r="O20" s="212">
        <v>35</v>
      </c>
      <c r="P20" s="212"/>
      <c r="Q20" s="212"/>
      <c r="R20" s="212"/>
      <c r="S20" s="215">
        <f>VLOOKUP(M20,'[1]Detailed funding 2022-23'!$C:$CE,81,FALSE)</f>
        <v>5822.2147040761483</v>
      </c>
      <c r="T20" s="215">
        <f t="shared" ref="T20:T21" si="7">O20*S20</f>
        <v>203777.51464266519</v>
      </c>
      <c r="U20" s="217"/>
    </row>
    <row r="21" spans="1:21" x14ac:dyDescent="0.25">
      <c r="A21" s="211" t="s">
        <v>202</v>
      </c>
      <c r="B21" s="211">
        <v>3072094</v>
      </c>
      <c r="C21" s="216"/>
      <c r="D21" s="212">
        <v>21</v>
      </c>
      <c r="E21" s="212"/>
      <c r="F21" s="212"/>
      <c r="G21" s="212"/>
      <c r="H21" s="213">
        <f>VLOOKUP(B21,'[1]Detailed funding 2022-23'!$C:$CE,81,FALSE)</f>
        <v>5641.7090956593456</v>
      </c>
      <c r="I21" s="213">
        <f t="shared" si="6"/>
        <v>118475.89100884626</v>
      </c>
      <c r="J21" s="217"/>
      <c r="L21" s="214" t="s">
        <v>202</v>
      </c>
      <c r="M21" s="214">
        <v>3072094</v>
      </c>
      <c r="N21" s="216"/>
      <c r="O21" s="212">
        <v>21</v>
      </c>
      <c r="P21" s="212"/>
      <c r="Q21" s="212"/>
      <c r="R21" s="212"/>
      <c r="S21" s="215">
        <f>VLOOKUP(M21,'[1]Detailed funding 2022-23'!$C:$CE,81,FALSE)</f>
        <v>5641.7090956593456</v>
      </c>
      <c r="T21" s="215">
        <f t="shared" si="7"/>
        <v>118475.89100884626</v>
      </c>
      <c r="U21" s="217"/>
    </row>
    <row r="22" spans="1:21" x14ac:dyDescent="0.25">
      <c r="A22" s="211" t="s">
        <v>212</v>
      </c>
      <c r="B22" s="211">
        <v>3072167</v>
      </c>
      <c r="C22" s="216"/>
      <c r="D22" s="212"/>
      <c r="E22" s="212"/>
      <c r="F22" s="212"/>
      <c r="G22" s="212">
        <v>12</v>
      </c>
      <c r="H22" s="213">
        <f>VLOOKUP(B22,'[1]Detailed funding 2022-23'!$C:$CE,81,FALSE)</f>
        <v>6775.533418850574</v>
      </c>
      <c r="I22" s="213">
        <f>((G22*H22)/12*3)</f>
        <v>20326.600256551723</v>
      </c>
      <c r="J22" s="217"/>
      <c r="L22" s="214" t="s">
        <v>212</v>
      </c>
      <c r="M22" s="214">
        <v>3072167</v>
      </c>
      <c r="N22" s="216"/>
      <c r="O22" s="212"/>
      <c r="P22" s="212"/>
      <c r="Q22" s="212"/>
      <c r="R22" s="212">
        <v>12</v>
      </c>
      <c r="S22" s="215">
        <f>VLOOKUP(M22,'[1]Detailed funding 2022-23'!$C:$CE,81,FALSE)</f>
        <v>6775.533418850574</v>
      </c>
      <c r="T22" s="215">
        <f>((R22*S22)/12*3)</f>
        <v>20326.600256551723</v>
      </c>
      <c r="U22" s="217"/>
    </row>
    <row r="23" spans="1:21" x14ac:dyDescent="0.25">
      <c r="A23" s="211" t="s">
        <v>218</v>
      </c>
      <c r="B23" s="211">
        <v>3072170</v>
      </c>
      <c r="C23" s="216"/>
      <c r="D23" s="212">
        <v>16</v>
      </c>
      <c r="E23" s="212"/>
      <c r="F23" s="212">
        <v>27</v>
      </c>
      <c r="G23" s="212"/>
      <c r="H23" s="213">
        <f>VLOOKUP(B23,'[1]Detailed funding 2022-23'!$C:$CE,81,FALSE)</f>
        <v>5633.2299729089364</v>
      </c>
      <c r="I23" s="213">
        <f>((D23*H23)/12*5)+((F23*H23)/12*7)</f>
        <v>126278.23855937533</v>
      </c>
      <c r="J23" s="217"/>
      <c r="L23" s="214" t="s">
        <v>218</v>
      </c>
      <c r="M23" s="214">
        <v>3072170</v>
      </c>
      <c r="N23" s="216"/>
      <c r="O23" s="212">
        <v>16</v>
      </c>
      <c r="P23" s="212"/>
      <c r="Q23" s="212">
        <v>27</v>
      </c>
      <c r="R23" s="212"/>
      <c r="S23" s="215">
        <f>VLOOKUP(M23,'[1]Detailed funding 2022-23'!$C:$CE,81,FALSE)</f>
        <v>5633.2299729089364</v>
      </c>
      <c r="T23" s="215">
        <f>((O23*S23)/12*5)+((Q23*S23)/12*7)</f>
        <v>126278.23855937533</v>
      </c>
      <c r="U23" s="217"/>
    </row>
    <row r="24" spans="1:21" x14ac:dyDescent="0.25">
      <c r="A24" s="211" t="s">
        <v>238</v>
      </c>
      <c r="B24" s="211">
        <v>3072125</v>
      </c>
      <c r="C24" s="216"/>
      <c r="D24" s="212">
        <v>21</v>
      </c>
      <c r="E24" s="212"/>
      <c r="F24" s="212"/>
      <c r="G24" s="212"/>
      <c r="H24" s="213">
        <f>VLOOKUP(B24,'[1]Detailed funding 2022-23'!$C:$CE,81,FALSE)</f>
        <v>6014.0079776571347</v>
      </c>
      <c r="I24" s="213">
        <f t="shared" ref="I24:I32" si="8">D24*H24</f>
        <v>126294.16753079982</v>
      </c>
      <c r="J24" s="217"/>
      <c r="L24" s="214" t="s">
        <v>238</v>
      </c>
      <c r="M24" s="214">
        <v>3072125</v>
      </c>
      <c r="N24" s="216"/>
      <c r="O24" s="212">
        <v>21</v>
      </c>
      <c r="P24" s="212"/>
      <c r="Q24" s="212"/>
      <c r="R24" s="212"/>
      <c r="S24" s="215">
        <f>VLOOKUP(M24,'[1]Detailed funding 2022-23'!$C:$CE,81,FALSE)</f>
        <v>6014.0079776571347</v>
      </c>
      <c r="T24" s="215">
        <f t="shared" ref="T24:T32" si="9">O24*S24</f>
        <v>126294.16753079982</v>
      </c>
      <c r="U24" s="217"/>
    </row>
    <row r="25" spans="1:21" x14ac:dyDescent="0.25">
      <c r="A25" s="211" t="s">
        <v>273</v>
      </c>
      <c r="B25" s="211">
        <v>3072058</v>
      </c>
      <c r="C25" s="216"/>
      <c r="D25" s="212">
        <v>25</v>
      </c>
      <c r="E25" s="212"/>
      <c r="F25" s="212"/>
      <c r="G25" s="212"/>
      <c r="H25" s="213">
        <f>VLOOKUP(B25,'[1]Detailed funding 2022-23'!$C:$CE,81,FALSE)</f>
        <v>5638.6765639085625</v>
      </c>
      <c r="I25" s="213">
        <f t="shared" si="8"/>
        <v>140966.91409771406</v>
      </c>
      <c r="J25" s="217"/>
      <c r="L25" s="214" t="s">
        <v>273</v>
      </c>
      <c r="M25" s="214">
        <v>3072058</v>
      </c>
      <c r="N25" s="216"/>
      <c r="O25" s="212">
        <v>25</v>
      </c>
      <c r="P25" s="212"/>
      <c r="Q25" s="212"/>
      <c r="R25" s="212"/>
      <c r="S25" s="215">
        <f>VLOOKUP(M25,'[1]Detailed funding 2022-23'!$C:$CE,81,FALSE)</f>
        <v>5638.6765639085625</v>
      </c>
      <c r="T25" s="215">
        <f t="shared" si="9"/>
        <v>140966.91409771406</v>
      </c>
      <c r="U25" s="217"/>
    </row>
    <row r="26" spans="1:21" x14ac:dyDescent="0.25">
      <c r="A26" s="211" t="s">
        <v>256</v>
      </c>
      <c r="B26" s="211">
        <v>3072071</v>
      </c>
      <c r="C26" s="216"/>
      <c r="D26" s="212">
        <v>21</v>
      </c>
      <c r="E26" s="212"/>
      <c r="F26" s="212"/>
      <c r="G26" s="212"/>
      <c r="H26" s="213">
        <f>VLOOKUP(B26,'[1]Detailed funding 2022-23'!$C:$CE,81,FALSE)</f>
        <v>5888.5151014416133</v>
      </c>
      <c r="I26" s="213">
        <f t="shared" si="8"/>
        <v>123658.81713027388</v>
      </c>
      <c r="J26" s="217"/>
      <c r="L26" s="214" t="s">
        <v>256</v>
      </c>
      <c r="M26" s="214">
        <v>3072071</v>
      </c>
      <c r="N26" s="216"/>
      <c r="O26" s="212">
        <v>21</v>
      </c>
      <c r="P26" s="212"/>
      <c r="Q26" s="212"/>
      <c r="R26" s="212"/>
      <c r="S26" s="215">
        <f>VLOOKUP(M26,'[1]Detailed funding 2022-23'!$C:$CE,81,FALSE)</f>
        <v>5888.5151014416133</v>
      </c>
      <c r="T26" s="215">
        <f t="shared" si="9"/>
        <v>123658.81713027388</v>
      </c>
      <c r="U26" s="217"/>
    </row>
    <row r="27" spans="1:21" x14ac:dyDescent="0.25">
      <c r="A27" s="211" t="s">
        <v>259</v>
      </c>
      <c r="B27" s="211">
        <v>3072172</v>
      </c>
      <c r="C27" s="216"/>
      <c r="D27" s="212">
        <v>24</v>
      </c>
      <c r="E27" s="212"/>
      <c r="F27" s="212"/>
      <c r="G27" s="212"/>
      <c r="H27" s="213">
        <f>VLOOKUP(B27,'[1]Detailed funding 2022-23'!$C:$CE,81,FALSE)</f>
        <v>5667.6704881677506</v>
      </c>
      <c r="I27" s="213">
        <f t="shared" si="8"/>
        <v>136024.09171602601</v>
      </c>
      <c r="J27" s="217"/>
      <c r="L27" s="214" t="s">
        <v>259</v>
      </c>
      <c r="M27" s="214">
        <v>3072172</v>
      </c>
      <c r="N27" s="216"/>
      <c r="O27" s="212">
        <v>24</v>
      </c>
      <c r="P27" s="212"/>
      <c r="Q27" s="212"/>
      <c r="R27" s="212"/>
      <c r="S27" s="215">
        <f>VLOOKUP(M27,'[1]Detailed funding 2022-23'!$C:$CE,81,FALSE)</f>
        <v>5667.6704881677506</v>
      </c>
      <c r="T27" s="215">
        <f t="shared" si="9"/>
        <v>136024.09171602601</v>
      </c>
      <c r="U27" s="217"/>
    </row>
    <row r="28" spans="1:21" x14ac:dyDescent="0.25">
      <c r="A28" s="211" t="s">
        <v>213</v>
      </c>
      <c r="B28" s="211">
        <v>3072168</v>
      </c>
      <c r="C28" s="216"/>
      <c r="D28" s="212">
        <v>2</v>
      </c>
      <c r="E28" s="212"/>
      <c r="F28" s="212"/>
      <c r="G28" s="212"/>
      <c r="H28" s="213">
        <f>VLOOKUP(B28,'[1]Detailed funding 2022-23'!$C:$CE,81,FALSE)</f>
        <v>9180.6264094165635</v>
      </c>
      <c r="I28" s="213">
        <f t="shared" si="8"/>
        <v>18361.252818833127</v>
      </c>
      <c r="J28" s="217"/>
      <c r="L28" s="214" t="s">
        <v>213</v>
      </c>
      <c r="M28" s="214">
        <v>3072168</v>
      </c>
      <c r="N28" s="216"/>
      <c r="O28" s="212">
        <v>2</v>
      </c>
      <c r="P28" s="212"/>
      <c r="Q28" s="212"/>
      <c r="R28" s="212"/>
      <c r="S28" s="215">
        <f>VLOOKUP(M28,'[1]Detailed funding 2022-23'!$C:$CE,81,FALSE)</f>
        <v>9180.6264094165635</v>
      </c>
      <c r="T28" s="215">
        <f t="shared" si="9"/>
        <v>18361.252818833127</v>
      </c>
      <c r="U28" s="217"/>
    </row>
    <row r="29" spans="1:21" x14ac:dyDescent="0.25">
      <c r="A29" s="211" t="s">
        <v>274</v>
      </c>
      <c r="B29" s="211">
        <v>3074036</v>
      </c>
      <c r="C29" s="216"/>
      <c r="D29" s="212">
        <v>27</v>
      </c>
      <c r="E29" s="212"/>
      <c r="F29" s="212"/>
      <c r="G29" s="212"/>
      <c r="H29" s="213">
        <f>VLOOKUP(B29,'[1]Detailed funding 2022-23'!$C:$CE,81,FALSE)</f>
        <v>5988.3233626935407</v>
      </c>
      <c r="I29" s="213">
        <f t="shared" si="8"/>
        <v>161684.7307927256</v>
      </c>
      <c r="J29" s="217"/>
      <c r="L29" s="214" t="s">
        <v>274</v>
      </c>
      <c r="M29" s="214">
        <v>3074036</v>
      </c>
      <c r="N29" s="216"/>
      <c r="O29" s="212">
        <v>27</v>
      </c>
      <c r="P29" s="212"/>
      <c r="Q29" s="212"/>
      <c r="R29" s="212"/>
      <c r="S29" s="215">
        <f>VLOOKUP(M29,'[1]Detailed funding 2022-23'!$C:$CE,81,FALSE)</f>
        <v>5988.3233626935407</v>
      </c>
      <c r="T29" s="215">
        <f t="shared" si="9"/>
        <v>161684.7307927256</v>
      </c>
      <c r="U29" s="217"/>
    </row>
    <row r="30" spans="1:21" x14ac:dyDescent="0.25">
      <c r="A30" s="211" t="s">
        <v>215</v>
      </c>
      <c r="B30" s="211">
        <v>3075401</v>
      </c>
      <c r="C30" s="216"/>
      <c r="D30" s="212">
        <v>20</v>
      </c>
      <c r="E30" s="212"/>
      <c r="F30" s="212">
        <v>25</v>
      </c>
      <c r="G30" s="212"/>
      <c r="H30" s="213">
        <f>VLOOKUP(B30,'[1]Detailed funding 2022-23'!$C:$CE,81,FALSE)</f>
        <v>5531.5751476409096</v>
      </c>
      <c r="I30" s="213">
        <f>((D30*H30)/12*5)+((F30*H30)/12*7)</f>
        <v>126765.26380010419</v>
      </c>
      <c r="J30" s="217"/>
      <c r="L30" s="214" t="s">
        <v>215</v>
      </c>
      <c r="M30" s="214">
        <v>3075401</v>
      </c>
      <c r="N30" s="216"/>
      <c r="O30" s="212">
        <v>20</v>
      </c>
      <c r="P30" s="212"/>
      <c r="Q30" s="212">
        <v>25</v>
      </c>
      <c r="R30" s="212"/>
      <c r="S30" s="215">
        <f>VLOOKUP(M30,'[1]Detailed funding 2022-23'!$C:$CE,81,FALSE)</f>
        <v>5531.5751476409096</v>
      </c>
      <c r="T30" s="215">
        <f>((O30*S30)/12*5)+((Q30*S30)/12*7)</f>
        <v>126765.26380010419</v>
      </c>
      <c r="U30" s="217"/>
    </row>
    <row r="31" spans="1:21" x14ac:dyDescent="0.25">
      <c r="A31" s="211" t="s">
        <v>252</v>
      </c>
      <c r="B31" s="211">
        <v>3074602</v>
      </c>
      <c r="C31" s="216"/>
      <c r="D31" s="212">
        <v>20</v>
      </c>
      <c r="E31" s="212"/>
      <c r="F31" s="212"/>
      <c r="G31" s="212"/>
      <c r="H31" s="213">
        <f>VLOOKUP(B31,'[1]Detailed funding 2022-23'!$C:$CE,81,FALSE)</f>
        <v>6046.4058992444061</v>
      </c>
      <c r="I31" s="213">
        <f t="shared" si="8"/>
        <v>120928.11798488811</v>
      </c>
      <c r="J31" s="217"/>
      <c r="L31" s="214" t="s">
        <v>252</v>
      </c>
      <c r="M31" s="214">
        <v>3074602</v>
      </c>
      <c r="N31" s="216"/>
      <c r="O31" s="212">
        <v>20</v>
      </c>
      <c r="P31" s="212"/>
      <c r="Q31" s="212"/>
      <c r="R31" s="212"/>
      <c r="S31" s="215">
        <f>VLOOKUP(M31,'[1]Detailed funding 2022-23'!$C:$CE,81,FALSE)</f>
        <v>6046.4058992444061</v>
      </c>
      <c r="T31" s="215">
        <f t="shared" si="9"/>
        <v>120928.11798488811</v>
      </c>
      <c r="U31" s="217"/>
    </row>
    <row r="32" spans="1:21" x14ac:dyDescent="0.25">
      <c r="A32" s="211" t="s">
        <v>258</v>
      </c>
      <c r="B32" s="211">
        <v>3074000</v>
      </c>
      <c r="C32" s="216"/>
      <c r="D32" s="212">
        <v>30</v>
      </c>
      <c r="E32" s="212"/>
      <c r="F32" s="212"/>
      <c r="G32" s="212"/>
      <c r="H32" s="213">
        <f>VLOOKUP(B32,'[1]Detailed funding 2022-23'!$C:$CE,81,FALSE)</f>
        <v>5959.7231578747633</v>
      </c>
      <c r="I32" s="213">
        <f t="shared" si="8"/>
        <v>178791.69473624291</v>
      </c>
      <c r="J32" s="217"/>
      <c r="L32" s="214" t="s">
        <v>258</v>
      </c>
      <c r="M32" s="214">
        <v>3074000</v>
      </c>
      <c r="N32" s="216"/>
      <c r="O32" s="212">
        <v>30</v>
      </c>
      <c r="P32" s="212"/>
      <c r="Q32" s="212"/>
      <c r="R32" s="212"/>
      <c r="S32" s="215">
        <f>VLOOKUP(M32,'[1]Detailed funding 2022-23'!$C:$CE,81,FALSE)</f>
        <v>5959.7231578747633</v>
      </c>
      <c r="T32" s="215">
        <f t="shared" si="9"/>
        <v>178791.69473624291</v>
      </c>
      <c r="U32" s="217"/>
    </row>
    <row r="33" spans="1:21" x14ac:dyDescent="0.25">
      <c r="A33" s="211" t="s">
        <v>198</v>
      </c>
      <c r="B33" s="211">
        <v>3074030</v>
      </c>
      <c r="C33" s="216"/>
      <c r="D33" s="212">
        <v>4</v>
      </c>
      <c r="E33" s="212"/>
      <c r="F33" s="212">
        <v>2</v>
      </c>
      <c r="G33" s="212"/>
      <c r="H33" s="213">
        <f>VLOOKUP(B33,'[1]Detailed funding 2022-23'!$C:$CE,81,FALSE)</f>
        <v>7544.9237334287018</v>
      </c>
      <c r="I33" s="213">
        <f t="shared" ref="I33" si="10">((D33*H33)/12*5)+((F33*H33)/12*7)</f>
        <v>21377.283911381321</v>
      </c>
      <c r="J33" s="217"/>
      <c r="L33" s="214" t="s">
        <v>198</v>
      </c>
      <c r="M33" s="214">
        <v>3074030</v>
      </c>
      <c r="N33" s="216"/>
      <c r="O33" s="212">
        <v>4</v>
      </c>
      <c r="P33" s="212"/>
      <c r="Q33" s="212">
        <v>2</v>
      </c>
      <c r="R33" s="212"/>
      <c r="S33" s="215">
        <f>VLOOKUP(M33,'[1]Detailed funding 2022-23'!$C:$CE,81,FALSE)</f>
        <v>7544.9237334287018</v>
      </c>
      <c r="T33" s="215">
        <f t="shared" ref="T33" si="11">((O33*S33)/12*5)+((Q33*S33)/12*7)</f>
        <v>21377.283911381321</v>
      </c>
      <c r="U33" s="217"/>
    </row>
    <row r="34" spans="1:21" x14ac:dyDescent="0.25">
      <c r="T34" s="196"/>
      <c r="U34" s="196"/>
    </row>
    <row r="35" spans="1:21" x14ac:dyDescent="0.25">
      <c r="L35" s="218" t="s">
        <v>303</v>
      </c>
    </row>
  </sheetData>
  <mergeCells count="32">
    <mergeCell ref="A15:A17"/>
    <mergeCell ref="B15:B17"/>
    <mergeCell ref="J15:J17"/>
    <mergeCell ref="A10:A11"/>
    <mergeCell ref="B10:B11"/>
    <mergeCell ref="J10:J11"/>
    <mergeCell ref="A12:A14"/>
    <mergeCell ref="B12:B14"/>
    <mergeCell ref="J12:J14"/>
    <mergeCell ref="I1:J1"/>
    <mergeCell ref="A2:A5"/>
    <mergeCell ref="B2:B5"/>
    <mergeCell ref="J2:J5"/>
    <mergeCell ref="A6:A8"/>
    <mergeCell ref="B6:B8"/>
    <mergeCell ref="J6:J8"/>
    <mergeCell ref="T1:U1"/>
    <mergeCell ref="L2:L5"/>
    <mergeCell ref="M2:M5"/>
    <mergeCell ref="U2:U5"/>
    <mergeCell ref="L6:L8"/>
    <mergeCell ref="M6:M8"/>
    <mergeCell ref="U6:U8"/>
    <mergeCell ref="L15:L17"/>
    <mergeCell ref="M15:M17"/>
    <mergeCell ref="U15:U17"/>
    <mergeCell ref="L10:L11"/>
    <mergeCell ref="M10:M11"/>
    <mergeCell ref="U10:U11"/>
    <mergeCell ref="L12:L14"/>
    <mergeCell ref="M12:M14"/>
    <mergeCell ref="U12:U14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896F-90C6-4D5A-B5CB-7F88CCCC9953}">
  <dimension ref="A1:AK99"/>
  <sheetViews>
    <sheetView zoomScale="85" zoomScaleNormal="85" workbookViewId="0">
      <selection activeCell="AA4" sqref="A4:AA5"/>
    </sheetView>
  </sheetViews>
  <sheetFormatPr defaultRowHeight="15" x14ac:dyDescent="0.25"/>
  <cols>
    <col min="2" max="2" width="26.7109375" bestFit="1" customWidth="1"/>
    <col min="3" max="5" width="13.140625" customWidth="1"/>
    <col min="7" max="7" width="14" customWidth="1"/>
    <col min="8" max="8" width="14.5703125" bestFit="1" customWidth="1"/>
    <col min="9" max="9" width="12.85546875" bestFit="1" customWidth="1"/>
    <col min="10" max="10" width="10.7109375" customWidth="1"/>
    <col min="11" max="11" width="13.7109375" customWidth="1"/>
    <col min="12" max="12" width="13" customWidth="1"/>
    <col min="13" max="13" width="13.28515625" customWidth="1"/>
    <col min="14" max="15" width="10.7109375" customWidth="1"/>
    <col min="16" max="16" width="12.28515625" customWidth="1"/>
    <col min="17" max="35" width="10.7109375" customWidth="1"/>
    <col min="37" max="37" width="14.140625" bestFit="1" customWidth="1"/>
  </cols>
  <sheetData>
    <row r="1" spans="1:37" ht="195" x14ac:dyDescent="0.25">
      <c r="A1" s="138"/>
      <c r="B1" s="139" t="s">
        <v>3</v>
      </c>
      <c r="C1" s="140" t="s">
        <v>151</v>
      </c>
      <c r="D1" s="140" t="s">
        <v>152</v>
      </c>
      <c r="E1" s="140" t="s">
        <v>153</v>
      </c>
      <c r="F1" s="141"/>
      <c r="G1" s="142" t="s">
        <v>154</v>
      </c>
      <c r="H1" s="142" t="s">
        <v>155</v>
      </c>
      <c r="I1" s="142" t="s">
        <v>156</v>
      </c>
      <c r="J1" s="143" t="s">
        <v>52</v>
      </c>
      <c r="K1" s="143" t="s">
        <v>157</v>
      </c>
      <c r="L1" s="128" t="s">
        <v>158</v>
      </c>
      <c r="M1" s="144" t="s">
        <v>159</v>
      </c>
      <c r="N1" s="144" t="s">
        <v>160</v>
      </c>
      <c r="O1" s="145" t="s">
        <v>161</v>
      </c>
      <c r="P1" s="144" t="s">
        <v>265</v>
      </c>
      <c r="Q1" s="142" t="s">
        <v>162</v>
      </c>
      <c r="R1" s="142" t="s">
        <v>163</v>
      </c>
      <c r="S1" s="146" t="s">
        <v>164</v>
      </c>
      <c r="T1" s="146" t="s">
        <v>165</v>
      </c>
      <c r="U1" s="147" t="s">
        <v>166</v>
      </c>
      <c r="V1" s="144" t="s">
        <v>167</v>
      </c>
      <c r="W1" s="148" t="s">
        <v>168</v>
      </c>
      <c r="X1" s="148" t="s">
        <v>169</v>
      </c>
      <c r="Y1" s="147" t="s">
        <v>170</v>
      </c>
      <c r="Z1" s="149" t="s">
        <v>171</v>
      </c>
      <c r="AA1" s="149" t="s">
        <v>172</v>
      </c>
      <c r="AB1" s="147" t="s">
        <v>173</v>
      </c>
      <c r="AC1" s="147" t="s">
        <v>174</v>
      </c>
      <c r="AD1" s="147" t="s">
        <v>175</v>
      </c>
      <c r="AE1" s="147" t="s">
        <v>176</v>
      </c>
      <c r="AF1" s="149" t="s">
        <v>177</v>
      </c>
      <c r="AG1" s="150" t="s">
        <v>178</v>
      </c>
      <c r="AH1" s="151" t="s">
        <v>179</v>
      </c>
      <c r="AI1" s="152" t="s">
        <v>180</v>
      </c>
      <c r="AJ1" s="141"/>
      <c r="AK1" s="153" t="s">
        <v>21</v>
      </c>
    </row>
    <row r="2" spans="1:37" ht="15.75" x14ac:dyDescent="0.3">
      <c r="A2" s="130">
        <v>3071000</v>
      </c>
      <c r="B2" s="131" t="s">
        <v>10</v>
      </c>
      <c r="C2" s="154">
        <v>0</v>
      </c>
      <c r="D2" s="154">
        <v>0</v>
      </c>
      <c r="E2" s="155">
        <f t="shared" ref="E2:E33" si="0">SUM(C2:D2)</f>
        <v>0</v>
      </c>
      <c r="F2" s="156">
        <v>3071000</v>
      </c>
      <c r="G2" s="157">
        <v>0</v>
      </c>
      <c r="H2" s="157">
        <v>0</v>
      </c>
      <c r="I2" s="157">
        <v>0</v>
      </c>
      <c r="J2" s="158">
        <v>0</v>
      </c>
      <c r="K2" s="158">
        <v>0</v>
      </c>
      <c r="L2" s="158">
        <v>0</v>
      </c>
      <c r="M2" s="158">
        <v>0</v>
      </c>
      <c r="N2" s="158">
        <v>0</v>
      </c>
      <c r="O2" s="158">
        <v>0</v>
      </c>
      <c r="P2" s="159">
        <v>0</v>
      </c>
      <c r="Q2" s="159">
        <v>0</v>
      </c>
      <c r="R2" s="159">
        <v>0</v>
      </c>
      <c r="S2" s="159">
        <v>0</v>
      </c>
      <c r="T2" s="159">
        <v>0</v>
      </c>
      <c r="U2" s="159">
        <v>0</v>
      </c>
      <c r="V2" s="158">
        <v>0</v>
      </c>
      <c r="W2" s="159">
        <v>15806</v>
      </c>
      <c r="X2" s="159">
        <v>5594</v>
      </c>
      <c r="Y2" s="159">
        <v>0</v>
      </c>
      <c r="Z2" s="159">
        <v>1057.76</v>
      </c>
      <c r="AA2" s="159">
        <v>0</v>
      </c>
      <c r="AB2" s="159">
        <v>0</v>
      </c>
      <c r="AC2" s="159"/>
      <c r="AD2" s="159">
        <v>0</v>
      </c>
      <c r="AE2" s="159">
        <v>0</v>
      </c>
      <c r="AF2" s="159">
        <v>0</v>
      </c>
      <c r="AG2" s="159">
        <v>0</v>
      </c>
      <c r="AH2" s="159">
        <v>0</v>
      </c>
      <c r="AI2" s="160">
        <v>4803.25</v>
      </c>
      <c r="AJ2" s="156"/>
      <c r="AK2" s="161">
        <f t="shared" ref="AK2:AK34" si="1">SUM(G2:AI2)+E2</f>
        <v>27261.01</v>
      </c>
    </row>
    <row r="3" spans="1:37" ht="15.75" x14ac:dyDescent="0.3">
      <c r="A3" s="132">
        <v>3071002</v>
      </c>
      <c r="B3" s="129" t="s">
        <v>7</v>
      </c>
      <c r="C3" s="154">
        <v>0</v>
      </c>
      <c r="D3" s="154">
        <v>0</v>
      </c>
      <c r="E3" s="155">
        <f t="shared" si="0"/>
        <v>0</v>
      </c>
      <c r="F3" s="162">
        <v>3075401</v>
      </c>
      <c r="G3" s="157">
        <v>0</v>
      </c>
      <c r="H3" s="157">
        <v>0</v>
      </c>
      <c r="I3" s="157">
        <v>0</v>
      </c>
      <c r="J3" s="158">
        <v>0</v>
      </c>
      <c r="K3" s="158">
        <v>0</v>
      </c>
      <c r="L3" s="158">
        <v>0</v>
      </c>
      <c r="M3" s="158">
        <v>0</v>
      </c>
      <c r="N3" s="158">
        <v>0</v>
      </c>
      <c r="O3" s="158">
        <v>0</v>
      </c>
      <c r="P3" s="159">
        <v>0</v>
      </c>
      <c r="Q3" s="159">
        <v>0</v>
      </c>
      <c r="R3" s="159">
        <v>0</v>
      </c>
      <c r="S3" s="159">
        <v>0</v>
      </c>
      <c r="T3" s="159">
        <v>0</v>
      </c>
      <c r="U3" s="159">
        <v>0</v>
      </c>
      <c r="V3" s="158">
        <v>0</v>
      </c>
      <c r="W3" s="159">
        <v>16438</v>
      </c>
      <c r="X3" s="159">
        <v>5818</v>
      </c>
      <c r="Y3" s="159">
        <v>0</v>
      </c>
      <c r="Z3" s="159">
        <v>48819.55</v>
      </c>
      <c r="AA3" s="159">
        <v>0</v>
      </c>
      <c r="AB3" s="159">
        <v>0</v>
      </c>
      <c r="AC3" s="159"/>
      <c r="AD3" s="159">
        <v>0</v>
      </c>
      <c r="AE3" s="159">
        <v>0</v>
      </c>
      <c r="AF3" s="159">
        <v>0</v>
      </c>
      <c r="AG3" s="159">
        <v>0</v>
      </c>
      <c r="AH3" s="159">
        <v>0</v>
      </c>
      <c r="AI3" s="160">
        <v>4877.5</v>
      </c>
      <c r="AJ3" s="162"/>
      <c r="AK3" s="161">
        <f t="shared" si="1"/>
        <v>75953.05</v>
      </c>
    </row>
    <row r="4" spans="1:37" ht="15.75" x14ac:dyDescent="0.3">
      <c r="A4" s="132">
        <v>3071003</v>
      </c>
      <c r="B4" s="129" t="s">
        <v>141</v>
      </c>
      <c r="C4" s="154">
        <v>0</v>
      </c>
      <c r="D4" s="154">
        <v>0</v>
      </c>
      <c r="E4" s="155">
        <f t="shared" si="0"/>
        <v>0</v>
      </c>
      <c r="F4" s="162">
        <v>3071003</v>
      </c>
      <c r="G4" s="157">
        <v>0</v>
      </c>
      <c r="H4" s="157">
        <v>0</v>
      </c>
      <c r="I4" s="157">
        <v>0</v>
      </c>
      <c r="J4" s="158">
        <v>0</v>
      </c>
      <c r="K4" s="158">
        <v>0</v>
      </c>
      <c r="L4" s="158">
        <v>0</v>
      </c>
      <c r="M4" s="158">
        <v>0</v>
      </c>
      <c r="N4" s="158">
        <v>0</v>
      </c>
      <c r="O4" s="158">
        <v>0</v>
      </c>
      <c r="P4" s="159">
        <v>0</v>
      </c>
      <c r="Q4" s="159">
        <v>0</v>
      </c>
      <c r="R4" s="159">
        <v>0</v>
      </c>
      <c r="S4" s="159">
        <v>0</v>
      </c>
      <c r="T4" s="159">
        <v>0</v>
      </c>
      <c r="U4" s="159">
        <v>0</v>
      </c>
      <c r="V4" s="158">
        <v>0</v>
      </c>
      <c r="W4" s="159">
        <v>20864</v>
      </c>
      <c r="X4" s="159">
        <v>7384</v>
      </c>
      <c r="Y4" s="159">
        <v>0</v>
      </c>
      <c r="Z4" s="159">
        <v>6965.16</v>
      </c>
      <c r="AA4" s="159">
        <v>0</v>
      </c>
      <c r="AB4" s="159">
        <v>0</v>
      </c>
      <c r="AC4" s="159"/>
      <c r="AD4" s="159">
        <v>0</v>
      </c>
      <c r="AE4" s="159">
        <v>0</v>
      </c>
      <c r="AF4" s="159">
        <v>0</v>
      </c>
      <c r="AG4" s="159">
        <v>0</v>
      </c>
      <c r="AH4" s="159">
        <v>0</v>
      </c>
      <c r="AI4" s="160">
        <v>5167.75</v>
      </c>
      <c r="AJ4" s="162"/>
      <c r="AK4" s="161">
        <f t="shared" si="1"/>
        <v>40380.910000000003</v>
      </c>
    </row>
    <row r="5" spans="1:37" ht="15.75" x14ac:dyDescent="0.3">
      <c r="A5" s="132">
        <v>3071007</v>
      </c>
      <c r="B5" s="129" t="s">
        <v>14</v>
      </c>
      <c r="C5" s="154">
        <v>0</v>
      </c>
      <c r="D5" s="154">
        <v>0</v>
      </c>
      <c r="E5" s="155">
        <f t="shared" si="0"/>
        <v>0</v>
      </c>
      <c r="F5" s="162">
        <v>3071007</v>
      </c>
      <c r="G5" s="157">
        <v>0</v>
      </c>
      <c r="H5" s="157">
        <v>0</v>
      </c>
      <c r="I5" s="157">
        <v>0</v>
      </c>
      <c r="J5" s="158">
        <v>0</v>
      </c>
      <c r="K5" s="158">
        <v>0</v>
      </c>
      <c r="L5" s="158">
        <v>0</v>
      </c>
      <c r="M5" s="158">
        <v>0</v>
      </c>
      <c r="N5" s="158">
        <v>0</v>
      </c>
      <c r="O5" s="158">
        <v>0</v>
      </c>
      <c r="P5" s="159">
        <v>0</v>
      </c>
      <c r="Q5" s="159">
        <v>0</v>
      </c>
      <c r="R5" s="159">
        <v>0</v>
      </c>
      <c r="S5" s="159">
        <v>0</v>
      </c>
      <c r="T5" s="159">
        <v>0</v>
      </c>
      <c r="U5" s="159">
        <v>0</v>
      </c>
      <c r="V5" s="158">
        <v>0</v>
      </c>
      <c r="W5" s="159">
        <v>19125</v>
      </c>
      <c r="X5" s="159">
        <v>6769</v>
      </c>
      <c r="Y5" s="159">
        <v>0</v>
      </c>
      <c r="Z5" s="159">
        <v>19246.52</v>
      </c>
      <c r="AA5" s="159">
        <v>0</v>
      </c>
      <c r="AB5" s="159">
        <v>0</v>
      </c>
      <c r="AC5" s="159"/>
      <c r="AD5" s="159">
        <v>0</v>
      </c>
      <c r="AE5" s="159">
        <v>0</v>
      </c>
      <c r="AF5" s="159">
        <v>1000</v>
      </c>
      <c r="AG5" s="159">
        <v>0</v>
      </c>
      <c r="AH5" s="159">
        <v>0</v>
      </c>
      <c r="AI5" s="160">
        <v>5005.75</v>
      </c>
      <c r="AJ5" s="162"/>
      <c r="AK5" s="161">
        <f t="shared" si="1"/>
        <v>51146.270000000004</v>
      </c>
    </row>
    <row r="6" spans="1:37" ht="15.75" x14ac:dyDescent="0.3">
      <c r="A6" s="132">
        <v>3071103</v>
      </c>
      <c r="B6" s="129" t="s">
        <v>264</v>
      </c>
      <c r="C6" s="154">
        <v>0</v>
      </c>
      <c r="D6" s="154">
        <v>0</v>
      </c>
      <c r="E6" s="155">
        <f t="shared" si="0"/>
        <v>0</v>
      </c>
      <c r="F6" s="162">
        <v>3071103</v>
      </c>
      <c r="G6" s="157">
        <v>0</v>
      </c>
      <c r="H6" s="157">
        <v>0</v>
      </c>
      <c r="I6" s="157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  <c r="O6" s="158">
        <v>0</v>
      </c>
      <c r="P6" s="159">
        <v>0</v>
      </c>
      <c r="Q6" s="159">
        <v>0</v>
      </c>
      <c r="R6" s="159">
        <v>0</v>
      </c>
      <c r="S6" s="159">
        <v>0</v>
      </c>
      <c r="T6" s="159">
        <v>0</v>
      </c>
      <c r="U6" s="159">
        <v>18000</v>
      </c>
      <c r="V6" s="158">
        <v>0</v>
      </c>
      <c r="W6" s="159">
        <v>0</v>
      </c>
      <c r="X6" s="159">
        <v>0</v>
      </c>
      <c r="Y6" s="159">
        <v>11200</v>
      </c>
      <c r="Z6" s="159">
        <v>0</v>
      </c>
      <c r="AA6" s="159">
        <v>0</v>
      </c>
      <c r="AB6" s="159">
        <v>0</v>
      </c>
      <c r="AC6" s="159"/>
      <c r="AD6" s="159">
        <v>5945</v>
      </c>
      <c r="AE6" s="159">
        <v>0</v>
      </c>
      <c r="AF6" s="159">
        <v>0</v>
      </c>
      <c r="AG6" s="159">
        <v>7710.94</v>
      </c>
      <c r="AH6" s="159">
        <v>0</v>
      </c>
      <c r="AI6" s="160">
        <v>9315.6200000000008</v>
      </c>
      <c r="AJ6" s="162"/>
      <c r="AK6" s="161">
        <f t="shared" si="1"/>
        <v>52171.560000000005</v>
      </c>
    </row>
    <row r="7" spans="1:37" ht="15.75" x14ac:dyDescent="0.3">
      <c r="A7" s="132">
        <v>3071104</v>
      </c>
      <c r="B7" s="129" t="s">
        <v>263</v>
      </c>
      <c r="C7" s="154">
        <v>0</v>
      </c>
      <c r="D7" s="154">
        <v>0</v>
      </c>
      <c r="E7" s="155">
        <f t="shared" si="0"/>
        <v>0</v>
      </c>
      <c r="F7" s="162">
        <v>3071104</v>
      </c>
      <c r="G7" s="157">
        <v>0</v>
      </c>
      <c r="H7" s="157">
        <v>0</v>
      </c>
      <c r="I7" s="157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9">
        <v>0</v>
      </c>
      <c r="Q7" s="159">
        <v>6000</v>
      </c>
      <c r="R7" s="159">
        <v>2093</v>
      </c>
      <c r="S7" s="159">
        <v>0</v>
      </c>
      <c r="T7" s="159">
        <v>0</v>
      </c>
      <c r="U7" s="159">
        <v>1800</v>
      </c>
      <c r="V7" s="158">
        <v>0</v>
      </c>
      <c r="W7" s="159">
        <v>0</v>
      </c>
      <c r="X7" s="159">
        <v>0</v>
      </c>
      <c r="Y7" s="159">
        <v>0</v>
      </c>
      <c r="Z7" s="159">
        <v>0</v>
      </c>
      <c r="AA7" s="159">
        <v>0</v>
      </c>
      <c r="AB7" s="159">
        <v>0</v>
      </c>
      <c r="AC7" s="159"/>
      <c r="AD7" s="159">
        <v>3000</v>
      </c>
      <c r="AE7" s="159">
        <v>0</v>
      </c>
      <c r="AF7" s="159">
        <v>0</v>
      </c>
      <c r="AG7" s="159">
        <v>1233.76</v>
      </c>
      <c r="AH7" s="159">
        <v>0</v>
      </c>
      <c r="AI7" s="160">
        <v>4683.4399999999996</v>
      </c>
      <c r="AJ7" s="162"/>
      <c r="AK7" s="161">
        <f t="shared" ref="AK7" si="2">SUM(G7:AI7)+E7</f>
        <v>18810.2</v>
      </c>
    </row>
    <row r="8" spans="1:37" ht="15.75" x14ac:dyDescent="0.3">
      <c r="A8" s="132">
        <v>3072000</v>
      </c>
      <c r="B8" s="129" t="s">
        <v>220</v>
      </c>
      <c r="C8" s="154">
        <v>2038869.8592163669</v>
      </c>
      <c r="D8" s="154">
        <v>0</v>
      </c>
      <c r="E8" s="155">
        <f t="shared" si="0"/>
        <v>2038869.8592163669</v>
      </c>
      <c r="F8" s="162">
        <v>3072000</v>
      </c>
      <c r="G8" s="157">
        <v>89043.397260274025</v>
      </c>
      <c r="H8" s="157">
        <v>0</v>
      </c>
      <c r="I8" s="157">
        <v>0</v>
      </c>
      <c r="J8" s="158">
        <v>0</v>
      </c>
      <c r="K8" s="158">
        <v>111279.9</v>
      </c>
      <c r="L8" s="158">
        <v>0</v>
      </c>
      <c r="M8" s="158">
        <v>0</v>
      </c>
      <c r="N8" s="158">
        <v>0</v>
      </c>
      <c r="O8" s="158">
        <v>0</v>
      </c>
      <c r="P8" s="159">
        <v>88080</v>
      </c>
      <c r="Q8" s="159">
        <v>19808</v>
      </c>
      <c r="R8" s="159">
        <v>55427</v>
      </c>
      <c r="S8" s="159">
        <v>0</v>
      </c>
      <c r="T8" s="159">
        <v>0</v>
      </c>
      <c r="U8" s="159">
        <v>14530</v>
      </c>
      <c r="V8" s="158">
        <v>0</v>
      </c>
      <c r="W8" s="159">
        <v>5374</v>
      </c>
      <c r="X8" s="159">
        <v>1902</v>
      </c>
      <c r="Y8" s="159">
        <v>0</v>
      </c>
      <c r="Z8" s="159">
        <v>0</v>
      </c>
      <c r="AA8" s="159">
        <v>0</v>
      </c>
      <c r="AB8" s="159">
        <v>0</v>
      </c>
      <c r="AC8" s="159"/>
      <c r="AD8" s="159">
        <v>4640</v>
      </c>
      <c r="AE8" s="159">
        <v>0</v>
      </c>
      <c r="AF8" s="159">
        <v>0</v>
      </c>
      <c r="AG8" s="159">
        <v>4370.62</v>
      </c>
      <c r="AH8" s="159">
        <v>0</v>
      </c>
      <c r="AI8" s="160">
        <v>0</v>
      </c>
      <c r="AJ8" s="162"/>
      <c r="AK8" s="161">
        <f t="shared" si="1"/>
        <v>2433324.7764766407</v>
      </c>
    </row>
    <row r="9" spans="1:37" ht="15.75" x14ac:dyDescent="0.3">
      <c r="A9" s="132">
        <v>3072001</v>
      </c>
      <c r="B9" s="129" t="s">
        <v>183</v>
      </c>
      <c r="C9" s="154">
        <v>0</v>
      </c>
      <c r="D9" s="154">
        <v>0</v>
      </c>
      <c r="E9" s="155">
        <f t="shared" si="0"/>
        <v>0</v>
      </c>
      <c r="F9" s="162">
        <v>3074002</v>
      </c>
      <c r="G9" s="157">
        <v>114550.70410958907</v>
      </c>
      <c r="H9" s="157">
        <v>0</v>
      </c>
      <c r="I9" s="157">
        <v>0</v>
      </c>
      <c r="J9" s="158">
        <v>0</v>
      </c>
      <c r="K9" s="158">
        <v>153927.15</v>
      </c>
      <c r="L9" s="158">
        <v>0</v>
      </c>
      <c r="M9" s="158">
        <v>0</v>
      </c>
      <c r="N9" s="158">
        <v>0</v>
      </c>
      <c r="O9" s="158">
        <v>0</v>
      </c>
      <c r="P9" s="159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8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59">
        <v>0</v>
      </c>
      <c r="AC9" s="159"/>
      <c r="AD9" s="159">
        <v>0</v>
      </c>
      <c r="AE9" s="159">
        <v>0</v>
      </c>
      <c r="AF9" s="159">
        <v>0</v>
      </c>
      <c r="AG9" s="159">
        <v>0</v>
      </c>
      <c r="AH9" s="159">
        <v>0</v>
      </c>
      <c r="AI9" s="160">
        <v>0</v>
      </c>
      <c r="AJ9" s="162"/>
      <c r="AK9" s="161">
        <f t="shared" si="1"/>
        <v>268477.85410958907</v>
      </c>
    </row>
    <row r="10" spans="1:37" ht="15.75" x14ac:dyDescent="0.3">
      <c r="A10" s="132">
        <v>3072003</v>
      </c>
      <c r="B10" s="129" t="s">
        <v>246</v>
      </c>
      <c r="C10" s="154">
        <v>0</v>
      </c>
      <c r="D10" s="154">
        <v>0</v>
      </c>
      <c r="E10" s="155">
        <f t="shared" si="0"/>
        <v>0</v>
      </c>
      <c r="F10" s="162">
        <v>3072003</v>
      </c>
      <c r="G10" s="157">
        <v>34666.008219178097</v>
      </c>
      <c r="H10" s="157">
        <v>0</v>
      </c>
      <c r="I10" s="157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8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/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60">
        <v>0</v>
      </c>
      <c r="AJ10" s="162"/>
      <c r="AK10" s="161">
        <f t="shared" si="1"/>
        <v>34666.008219178097</v>
      </c>
    </row>
    <row r="11" spans="1:37" ht="15.75" x14ac:dyDescent="0.3">
      <c r="A11" s="132">
        <v>3072004</v>
      </c>
      <c r="B11" s="129" t="s">
        <v>4</v>
      </c>
      <c r="C11" s="154">
        <v>0</v>
      </c>
      <c r="D11" s="154">
        <v>0</v>
      </c>
      <c r="E11" s="155">
        <f t="shared" si="0"/>
        <v>0</v>
      </c>
      <c r="F11" s="162">
        <v>3072004</v>
      </c>
      <c r="G11" s="157">
        <v>131010.48767123291</v>
      </c>
      <c r="H11" s="157">
        <v>0</v>
      </c>
      <c r="I11" s="157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8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/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60">
        <v>0</v>
      </c>
      <c r="AJ11" s="162"/>
      <c r="AK11" s="161">
        <f t="shared" si="1"/>
        <v>131010.48767123291</v>
      </c>
    </row>
    <row r="12" spans="1:37" ht="15.75" x14ac:dyDescent="0.3">
      <c r="A12" s="132">
        <v>3072005</v>
      </c>
      <c r="B12" s="129" t="s">
        <v>188</v>
      </c>
      <c r="C12" s="154">
        <v>1334743.7314235619</v>
      </c>
      <c r="D12" s="154">
        <v>0</v>
      </c>
      <c r="E12" s="155">
        <f t="shared" si="0"/>
        <v>1334743.7314235619</v>
      </c>
      <c r="F12" s="162">
        <v>3077005</v>
      </c>
      <c r="G12" s="157">
        <v>21277.780821917811</v>
      </c>
      <c r="H12" s="157">
        <v>0</v>
      </c>
      <c r="I12" s="157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9">
        <v>146605</v>
      </c>
      <c r="Q12" s="159">
        <v>18466</v>
      </c>
      <c r="R12" s="159">
        <v>0</v>
      </c>
      <c r="S12" s="159">
        <v>1200</v>
      </c>
      <c r="T12" s="159">
        <v>0</v>
      </c>
      <c r="U12" s="159">
        <v>7630</v>
      </c>
      <c r="V12" s="158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/>
      <c r="AD12" s="159">
        <v>7902.5</v>
      </c>
      <c r="AE12" s="159">
        <v>0</v>
      </c>
      <c r="AF12" s="159">
        <v>0</v>
      </c>
      <c r="AG12" s="159">
        <v>7678.12</v>
      </c>
      <c r="AH12" s="159">
        <v>0</v>
      </c>
      <c r="AI12" s="160">
        <v>6958.75</v>
      </c>
      <c r="AJ12" s="162"/>
      <c r="AK12" s="161">
        <f t="shared" si="1"/>
        <v>1552461.8822454796</v>
      </c>
    </row>
    <row r="13" spans="1:37" ht="15.75" x14ac:dyDescent="0.3">
      <c r="A13" s="132">
        <v>3072006</v>
      </c>
      <c r="B13" s="129" t="s">
        <v>187</v>
      </c>
      <c r="C13" s="154">
        <v>995232.01895394933</v>
      </c>
      <c r="D13" s="154">
        <v>0</v>
      </c>
      <c r="E13" s="155">
        <f t="shared" si="0"/>
        <v>995232.01895394933</v>
      </c>
      <c r="F13" s="162">
        <v>3072083</v>
      </c>
      <c r="G13" s="157">
        <v>69044.013698630122</v>
      </c>
      <c r="H13" s="157">
        <v>0</v>
      </c>
      <c r="I13" s="157">
        <v>0</v>
      </c>
      <c r="J13" s="158">
        <v>0</v>
      </c>
      <c r="K13" s="158">
        <v>45180.599999999991</v>
      </c>
      <c r="L13" s="158">
        <v>0</v>
      </c>
      <c r="M13" s="158">
        <v>0</v>
      </c>
      <c r="N13" s="158">
        <v>0</v>
      </c>
      <c r="O13" s="158">
        <v>0</v>
      </c>
      <c r="P13" s="159">
        <v>74630</v>
      </c>
      <c r="Q13" s="159">
        <v>17092</v>
      </c>
      <c r="R13" s="159">
        <v>34031</v>
      </c>
      <c r="S13" s="159">
        <v>0</v>
      </c>
      <c r="T13" s="159">
        <v>0</v>
      </c>
      <c r="U13" s="159">
        <v>5130</v>
      </c>
      <c r="V13" s="158">
        <v>0</v>
      </c>
      <c r="W13" s="159">
        <v>2687</v>
      </c>
      <c r="X13" s="159">
        <v>951</v>
      </c>
      <c r="Y13" s="159">
        <v>0</v>
      </c>
      <c r="Z13" s="159">
        <v>944.66</v>
      </c>
      <c r="AA13" s="159">
        <v>1500</v>
      </c>
      <c r="AB13" s="159">
        <v>0</v>
      </c>
      <c r="AC13" s="159"/>
      <c r="AD13" s="159">
        <v>3842.5</v>
      </c>
      <c r="AE13" s="159">
        <v>0</v>
      </c>
      <c r="AF13" s="159">
        <v>0</v>
      </c>
      <c r="AG13" s="159">
        <v>2953.12</v>
      </c>
      <c r="AH13" s="159">
        <v>0</v>
      </c>
      <c r="AI13" s="160">
        <v>6121.75</v>
      </c>
      <c r="AJ13" s="162"/>
      <c r="AK13" s="161">
        <f t="shared" si="1"/>
        <v>1259339.6626525796</v>
      </c>
    </row>
    <row r="14" spans="1:37" ht="15.75" x14ac:dyDescent="0.3">
      <c r="A14" s="132">
        <v>3072010</v>
      </c>
      <c r="B14" s="129" t="s">
        <v>13</v>
      </c>
      <c r="C14" s="154">
        <v>0</v>
      </c>
      <c r="D14" s="154">
        <v>0</v>
      </c>
      <c r="E14" s="155">
        <f t="shared" si="0"/>
        <v>0</v>
      </c>
      <c r="F14" s="162">
        <v>3072010</v>
      </c>
      <c r="G14" s="157">
        <v>68196.558904109595</v>
      </c>
      <c r="H14" s="157">
        <v>0</v>
      </c>
      <c r="I14" s="157">
        <v>0</v>
      </c>
      <c r="J14" s="158">
        <v>3434.5600000000004</v>
      </c>
      <c r="K14" s="158">
        <v>81106.350000000006</v>
      </c>
      <c r="L14" s="158">
        <v>0</v>
      </c>
      <c r="M14" s="158">
        <v>0</v>
      </c>
      <c r="N14" s="158">
        <v>0</v>
      </c>
      <c r="O14" s="158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8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59">
        <v>0</v>
      </c>
      <c r="AC14" s="159"/>
      <c r="AD14" s="159">
        <v>0</v>
      </c>
      <c r="AE14" s="159">
        <v>0</v>
      </c>
      <c r="AF14" s="159">
        <v>0</v>
      </c>
      <c r="AG14" s="159">
        <v>0</v>
      </c>
      <c r="AH14" s="159">
        <v>0</v>
      </c>
      <c r="AI14" s="160">
        <v>0</v>
      </c>
      <c r="AJ14" s="162"/>
      <c r="AK14" s="161">
        <f t="shared" si="1"/>
        <v>152737.46890410961</v>
      </c>
    </row>
    <row r="15" spans="1:37" ht="15.75" x14ac:dyDescent="0.3">
      <c r="A15" s="132">
        <v>3072011</v>
      </c>
      <c r="B15" s="129" t="s">
        <v>200</v>
      </c>
      <c r="C15" s="154">
        <v>0</v>
      </c>
      <c r="D15" s="154">
        <v>0</v>
      </c>
      <c r="E15" s="155">
        <f t="shared" si="0"/>
        <v>0</v>
      </c>
      <c r="F15" s="162">
        <v>3074030</v>
      </c>
      <c r="G15" s="157">
        <v>101930.96589041098</v>
      </c>
      <c r="H15" s="157">
        <v>0</v>
      </c>
      <c r="I15" s="157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8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/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60">
        <v>0</v>
      </c>
      <c r="AJ15" s="162"/>
      <c r="AK15" s="161">
        <f t="shared" si="1"/>
        <v>101930.96589041098</v>
      </c>
    </row>
    <row r="16" spans="1:37" ht="15.75" x14ac:dyDescent="0.3">
      <c r="A16" s="132">
        <v>3072012</v>
      </c>
      <c r="B16" s="129" t="s">
        <v>199</v>
      </c>
      <c r="C16" s="154">
        <v>0</v>
      </c>
      <c r="D16" s="154">
        <v>0</v>
      </c>
      <c r="E16" s="155">
        <f t="shared" si="0"/>
        <v>0</v>
      </c>
      <c r="F16" s="162">
        <v>3072165</v>
      </c>
      <c r="G16" s="157">
        <v>44355.476712328782</v>
      </c>
      <c r="H16" s="157">
        <v>0</v>
      </c>
      <c r="I16" s="157">
        <v>0</v>
      </c>
      <c r="J16" s="158">
        <v>0</v>
      </c>
      <c r="K16" s="158">
        <v>144973.6</v>
      </c>
      <c r="L16" s="158">
        <v>0</v>
      </c>
      <c r="M16" s="158">
        <v>0</v>
      </c>
      <c r="N16" s="158">
        <v>0</v>
      </c>
      <c r="O16" s="158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8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/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60">
        <v>0</v>
      </c>
      <c r="AJ16" s="162"/>
      <c r="AK16" s="161">
        <f t="shared" si="1"/>
        <v>189329.0767123288</v>
      </c>
    </row>
    <row r="17" spans="1:37" ht="15.75" x14ac:dyDescent="0.3">
      <c r="A17" s="132">
        <v>3072022</v>
      </c>
      <c r="B17" s="129" t="s">
        <v>206</v>
      </c>
      <c r="C17" s="154">
        <v>1226461.4690740739</v>
      </c>
      <c r="D17" s="154">
        <v>0</v>
      </c>
      <c r="E17" s="155">
        <f t="shared" si="0"/>
        <v>1226461.4690740739</v>
      </c>
      <c r="F17" s="162">
        <v>3072166</v>
      </c>
      <c r="G17" s="157">
        <v>63087.329863013729</v>
      </c>
      <c r="H17" s="157">
        <v>0</v>
      </c>
      <c r="I17" s="157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9">
        <v>117015.00000000003</v>
      </c>
      <c r="Q17" s="159">
        <v>18026</v>
      </c>
      <c r="R17" s="159">
        <v>17469</v>
      </c>
      <c r="S17" s="159">
        <v>0</v>
      </c>
      <c r="T17" s="159">
        <v>0</v>
      </c>
      <c r="U17" s="159">
        <v>7230</v>
      </c>
      <c r="V17" s="158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/>
      <c r="AD17" s="159">
        <v>6307.5</v>
      </c>
      <c r="AE17" s="159">
        <v>0</v>
      </c>
      <c r="AF17" s="159">
        <v>0</v>
      </c>
      <c r="AG17" s="159">
        <v>5197.5</v>
      </c>
      <c r="AH17" s="159">
        <v>0</v>
      </c>
      <c r="AI17" s="160">
        <v>6846.25</v>
      </c>
      <c r="AJ17" s="162"/>
      <c r="AK17" s="161">
        <f t="shared" si="1"/>
        <v>1467640.0489370876</v>
      </c>
    </row>
    <row r="18" spans="1:37" ht="15.75" x14ac:dyDescent="0.3">
      <c r="A18" s="132">
        <v>3072033</v>
      </c>
      <c r="B18" s="129" t="s">
        <v>233</v>
      </c>
      <c r="C18" s="154">
        <v>1852485.6221980397</v>
      </c>
      <c r="D18" s="154">
        <v>0</v>
      </c>
      <c r="E18" s="155">
        <f t="shared" si="0"/>
        <v>1852485.6221980397</v>
      </c>
      <c r="F18" s="162">
        <v>3072033</v>
      </c>
      <c r="G18" s="157">
        <v>122742.17917808217</v>
      </c>
      <c r="H18" s="157">
        <v>0</v>
      </c>
      <c r="I18" s="157">
        <v>0</v>
      </c>
      <c r="J18" s="158">
        <v>0</v>
      </c>
      <c r="K18" s="158">
        <v>90500.849999999991</v>
      </c>
      <c r="L18" s="158">
        <v>0</v>
      </c>
      <c r="M18" s="158">
        <v>0</v>
      </c>
      <c r="N18" s="158">
        <v>0</v>
      </c>
      <c r="O18" s="158">
        <v>0</v>
      </c>
      <c r="P18" s="159">
        <v>162710</v>
      </c>
      <c r="Q18" s="159">
        <v>19022</v>
      </c>
      <c r="R18" s="159">
        <v>50685</v>
      </c>
      <c r="S18" s="159">
        <v>0</v>
      </c>
      <c r="T18" s="159">
        <v>0</v>
      </c>
      <c r="U18" s="159">
        <v>11760</v>
      </c>
      <c r="V18" s="158">
        <v>0</v>
      </c>
      <c r="W18" s="159">
        <v>6165</v>
      </c>
      <c r="X18" s="159">
        <v>2182</v>
      </c>
      <c r="Y18" s="159">
        <v>0</v>
      </c>
      <c r="Z18" s="159">
        <v>0</v>
      </c>
      <c r="AA18" s="159">
        <v>0</v>
      </c>
      <c r="AB18" s="159">
        <v>3664.52</v>
      </c>
      <c r="AC18" s="159"/>
      <c r="AD18" s="159">
        <v>8482.5</v>
      </c>
      <c r="AE18" s="159">
        <v>0</v>
      </c>
      <c r="AF18" s="159">
        <v>0</v>
      </c>
      <c r="AG18" s="159">
        <v>7441.88</v>
      </c>
      <c r="AH18" s="159">
        <v>0</v>
      </c>
      <c r="AI18" s="160">
        <v>8374</v>
      </c>
      <c r="AJ18" s="162"/>
      <c r="AK18" s="161">
        <f t="shared" si="1"/>
        <v>2346215.551376122</v>
      </c>
    </row>
    <row r="19" spans="1:37" ht="15.75" x14ac:dyDescent="0.3">
      <c r="A19" s="132">
        <v>3072046</v>
      </c>
      <c r="B19" s="129" t="s">
        <v>229</v>
      </c>
      <c r="C19" s="154">
        <v>2850987.3756738226</v>
      </c>
      <c r="D19" s="154">
        <v>0</v>
      </c>
      <c r="E19" s="155">
        <f t="shared" si="0"/>
        <v>2850987.3756738226</v>
      </c>
      <c r="F19" s="162">
        <v>3072046</v>
      </c>
      <c r="G19" s="157">
        <v>190401.89972602736</v>
      </c>
      <c r="H19" s="157">
        <v>0</v>
      </c>
      <c r="I19" s="157">
        <v>0</v>
      </c>
      <c r="J19" s="158">
        <v>0</v>
      </c>
      <c r="K19" s="158">
        <v>187786.35000000003</v>
      </c>
      <c r="L19" s="158">
        <v>0</v>
      </c>
      <c r="M19" s="158">
        <v>0</v>
      </c>
      <c r="N19" s="158">
        <v>0</v>
      </c>
      <c r="O19" s="158">
        <v>0</v>
      </c>
      <c r="P19" s="159">
        <v>151260</v>
      </c>
      <c r="Q19" s="159">
        <v>21251</v>
      </c>
      <c r="R19" s="159">
        <v>102926</v>
      </c>
      <c r="S19" s="159">
        <v>0</v>
      </c>
      <c r="T19" s="159">
        <v>0</v>
      </c>
      <c r="U19" s="159">
        <v>20800</v>
      </c>
      <c r="V19" s="158">
        <v>0</v>
      </c>
      <c r="W19" s="159">
        <v>8693</v>
      </c>
      <c r="X19" s="159">
        <v>3077</v>
      </c>
      <c r="Y19" s="159">
        <v>0</v>
      </c>
      <c r="Z19" s="159">
        <v>0</v>
      </c>
      <c r="AA19" s="159">
        <v>0</v>
      </c>
      <c r="AB19" s="159">
        <v>375</v>
      </c>
      <c r="AC19" s="159"/>
      <c r="AD19" s="159">
        <v>7830</v>
      </c>
      <c r="AE19" s="159">
        <v>0</v>
      </c>
      <c r="AF19" s="159">
        <v>0</v>
      </c>
      <c r="AG19" s="159">
        <v>6851.26</v>
      </c>
      <c r="AH19" s="159">
        <v>0</v>
      </c>
      <c r="AI19" s="160">
        <v>11329.38</v>
      </c>
      <c r="AJ19" s="162"/>
      <c r="AK19" s="161">
        <f t="shared" si="1"/>
        <v>3563568.26539985</v>
      </c>
    </row>
    <row r="20" spans="1:37" ht="15.75" x14ac:dyDescent="0.3">
      <c r="A20" s="132">
        <v>3072058</v>
      </c>
      <c r="B20" s="129" t="s">
        <v>243</v>
      </c>
      <c r="C20" s="154">
        <v>2208125.8295445088</v>
      </c>
      <c r="D20" s="154">
        <v>150000</v>
      </c>
      <c r="E20" s="155">
        <f t="shared" si="0"/>
        <v>2358125.8295445088</v>
      </c>
      <c r="F20" s="162">
        <v>3072058</v>
      </c>
      <c r="G20" s="157">
        <v>197961.61452054797</v>
      </c>
      <c r="H20" s="157">
        <v>0</v>
      </c>
      <c r="I20" s="157">
        <v>130109.25</v>
      </c>
      <c r="J20" s="158">
        <v>3746.8</v>
      </c>
      <c r="K20" s="158">
        <v>161364.59999999998</v>
      </c>
      <c r="L20" s="158">
        <v>0</v>
      </c>
      <c r="M20" s="158">
        <v>0</v>
      </c>
      <c r="N20" s="158">
        <v>0</v>
      </c>
      <c r="O20" s="158">
        <v>0</v>
      </c>
      <c r="P20" s="159">
        <v>197222.91999999998</v>
      </c>
      <c r="Q20" s="159">
        <v>19341</v>
      </c>
      <c r="R20" s="159">
        <v>47110</v>
      </c>
      <c r="S20" s="159">
        <v>0</v>
      </c>
      <c r="T20" s="159">
        <v>0</v>
      </c>
      <c r="U20" s="159">
        <v>14630</v>
      </c>
      <c r="V20" s="158">
        <v>0</v>
      </c>
      <c r="W20" s="159">
        <v>8693</v>
      </c>
      <c r="X20" s="159">
        <v>3077</v>
      </c>
      <c r="Y20" s="159">
        <v>0</v>
      </c>
      <c r="Z20" s="159">
        <v>0</v>
      </c>
      <c r="AA20" s="159">
        <v>0</v>
      </c>
      <c r="AB20" s="159">
        <v>0</v>
      </c>
      <c r="AC20" s="159"/>
      <c r="AD20" s="159">
        <v>11419.5</v>
      </c>
      <c r="AE20" s="159">
        <v>0</v>
      </c>
      <c r="AF20" s="159">
        <v>0</v>
      </c>
      <c r="AG20" s="159">
        <v>10992.18</v>
      </c>
      <c r="AH20" s="159">
        <v>0</v>
      </c>
      <c r="AI20" s="160">
        <v>8982.6200000000008</v>
      </c>
      <c r="AJ20" s="162"/>
      <c r="AK20" s="161">
        <f t="shared" si="1"/>
        <v>3172776.3140650569</v>
      </c>
    </row>
    <row r="21" spans="1:37" ht="15.75" x14ac:dyDescent="0.3">
      <c r="A21" s="132">
        <v>3072059</v>
      </c>
      <c r="B21" s="129" t="s">
        <v>245</v>
      </c>
      <c r="C21" s="154">
        <v>2181965.5573697882</v>
      </c>
      <c r="D21" s="154">
        <v>0</v>
      </c>
      <c r="E21" s="155">
        <f t="shared" si="0"/>
        <v>2181965.5573697882</v>
      </c>
      <c r="F21" s="162">
        <v>3072059</v>
      </c>
      <c r="G21" s="157">
        <v>159475.79356164389</v>
      </c>
      <c r="H21" s="157">
        <v>0</v>
      </c>
      <c r="I21" s="157">
        <v>0</v>
      </c>
      <c r="J21" s="158">
        <v>0</v>
      </c>
      <c r="K21" s="158">
        <v>129729.48</v>
      </c>
      <c r="L21" s="158">
        <v>0</v>
      </c>
      <c r="M21" s="158">
        <v>0</v>
      </c>
      <c r="N21" s="158">
        <v>0</v>
      </c>
      <c r="O21" s="158">
        <v>0</v>
      </c>
      <c r="P21" s="159">
        <v>154604.99999999997</v>
      </c>
      <c r="Q21" s="159">
        <v>19954</v>
      </c>
      <c r="R21" s="159">
        <v>60855</v>
      </c>
      <c r="S21" s="159">
        <v>0</v>
      </c>
      <c r="T21" s="159">
        <v>0</v>
      </c>
      <c r="U21" s="159">
        <v>15160</v>
      </c>
      <c r="V21" s="158">
        <v>0</v>
      </c>
      <c r="W21" s="159">
        <v>5374</v>
      </c>
      <c r="X21" s="159">
        <v>1902</v>
      </c>
      <c r="Y21" s="159">
        <v>0</v>
      </c>
      <c r="Z21" s="159">
        <v>0</v>
      </c>
      <c r="AA21" s="159">
        <v>0</v>
      </c>
      <c r="AB21" s="159">
        <v>10950</v>
      </c>
      <c r="AC21" s="159"/>
      <c r="AD21" s="159">
        <v>7975</v>
      </c>
      <c r="AE21" s="159">
        <v>0</v>
      </c>
      <c r="AF21" s="159">
        <v>0</v>
      </c>
      <c r="AG21" s="159">
        <v>7087.5</v>
      </c>
      <c r="AH21" s="159">
        <v>0</v>
      </c>
      <c r="AI21" s="160">
        <v>9514.75</v>
      </c>
      <c r="AJ21" s="162"/>
      <c r="AK21" s="161">
        <f t="shared" si="1"/>
        <v>2764548.0809314321</v>
      </c>
    </row>
    <row r="22" spans="1:37" ht="15.75" x14ac:dyDescent="0.3">
      <c r="A22" s="132">
        <v>3072067</v>
      </c>
      <c r="B22" s="129" t="s">
        <v>257</v>
      </c>
      <c r="C22" s="154">
        <v>2064642.1149364463</v>
      </c>
      <c r="D22" s="154">
        <v>0</v>
      </c>
      <c r="E22" s="155">
        <f t="shared" si="0"/>
        <v>2064642.1149364463</v>
      </c>
      <c r="F22" s="162">
        <v>3072067</v>
      </c>
      <c r="G22" s="157">
        <v>43985.271232876701</v>
      </c>
      <c r="H22" s="157">
        <v>0</v>
      </c>
      <c r="I22" s="157">
        <v>0</v>
      </c>
      <c r="J22" s="158">
        <v>0</v>
      </c>
      <c r="K22" s="158">
        <v>139611.14999999997</v>
      </c>
      <c r="L22" s="158">
        <v>0</v>
      </c>
      <c r="M22" s="158">
        <v>0</v>
      </c>
      <c r="N22" s="158">
        <v>0</v>
      </c>
      <c r="O22" s="158">
        <v>0</v>
      </c>
      <c r="P22" s="159">
        <v>161400</v>
      </c>
      <c r="Q22" s="159">
        <v>19343</v>
      </c>
      <c r="R22" s="159">
        <v>57502</v>
      </c>
      <c r="S22" s="159">
        <v>0</v>
      </c>
      <c r="T22" s="159">
        <v>0</v>
      </c>
      <c r="U22" s="159">
        <v>13130</v>
      </c>
      <c r="V22" s="158">
        <v>0</v>
      </c>
      <c r="W22" s="159">
        <v>6322</v>
      </c>
      <c r="X22" s="159">
        <v>2237</v>
      </c>
      <c r="Y22" s="159">
        <v>0</v>
      </c>
      <c r="Z22" s="159">
        <v>0</v>
      </c>
      <c r="AA22" s="159">
        <v>0</v>
      </c>
      <c r="AB22" s="159">
        <v>0</v>
      </c>
      <c r="AC22" s="159"/>
      <c r="AD22" s="159">
        <v>8700</v>
      </c>
      <c r="AE22" s="159">
        <v>0</v>
      </c>
      <c r="AF22" s="159">
        <v>0</v>
      </c>
      <c r="AG22" s="159">
        <v>7441.88</v>
      </c>
      <c r="AH22" s="159">
        <v>0</v>
      </c>
      <c r="AI22" s="160">
        <v>8799.25</v>
      </c>
      <c r="AJ22" s="162"/>
      <c r="AK22" s="161">
        <f t="shared" si="1"/>
        <v>2533113.666169323</v>
      </c>
    </row>
    <row r="23" spans="1:37" ht="15.75" x14ac:dyDescent="0.3">
      <c r="A23" s="132">
        <v>3072071</v>
      </c>
      <c r="B23" s="129" t="s">
        <v>256</v>
      </c>
      <c r="C23" s="154">
        <v>3043878.7251781691</v>
      </c>
      <c r="D23" s="154">
        <v>126000</v>
      </c>
      <c r="E23" s="155">
        <f t="shared" si="0"/>
        <v>3169878.7251781691</v>
      </c>
      <c r="F23" s="162">
        <v>3072071</v>
      </c>
      <c r="G23" s="157">
        <v>179665.34520547951</v>
      </c>
      <c r="H23" s="157">
        <v>0</v>
      </c>
      <c r="I23" s="157">
        <v>142636.02123287672</v>
      </c>
      <c r="J23" s="158">
        <v>0</v>
      </c>
      <c r="K23" s="158">
        <v>165271.05000000002</v>
      </c>
      <c r="L23" s="158">
        <v>0</v>
      </c>
      <c r="M23" s="158">
        <v>0</v>
      </c>
      <c r="N23" s="158">
        <v>0</v>
      </c>
      <c r="O23" s="158">
        <v>0</v>
      </c>
      <c r="P23" s="159">
        <v>219234.99999999997</v>
      </c>
      <c r="Q23" s="159">
        <v>21236</v>
      </c>
      <c r="R23" s="159">
        <v>79324</v>
      </c>
      <c r="S23" s="159">
        <v>1200</v>
      </c>
      <c r="T23" s="159">
        <v>0</v>
      </c>
      <c r="U23" s="159">
        <v>21660</v>
      </c>
      <c r="V23" s="158">
        <v>0</v>
      </c>
      <c r="W23" s="159">
        <v>8219</v>
      </c>
      <c r="X23" s="159">
        <v>2909</v>
      </c>
      <c r="Y23" s="159">
        <v>0</v>
      </c>
      <c r="Z23" s="159">
        <v>562.53</v>
      </c>
      <c r="AA23" s="159">
        <v>0</v>
      </c>
      <c r="AB23" s="159">
        <v>0</v>
      </c>
      <c r="AC23" s="159"/>
      <c r="AD23" s="159">
        <v>12320</v>
      </c>
      <c r="AE23" s="159">
        <v>0</v>
      </c>
      <c r="AF23" s="159">
        <v>0</v>
      </c>
      <c r="AG23" s="159">
        <v>11084.06</v>
      </c>
      <c r="AH23" s="159">
        <v>0</v>
      </c>
      <c r="AI23" s="160">
        <v>11332.75</v>
      </c>
      <c r="AJ23" s="162"/>
      <c r="AK23" s="161">
        <f t="shared" si="1"/>
        <v>4046533.4816165254</v>
      </c>
    </row>
    <row r="24" spans="1:37" ht="15.75" x14ac:dyDescent="0.3">
      <c r="A24" s="132">
        <v>3072076</v>
      </c>
      <c r="B24" s="129" t="s">
        <v>225</v>
      </c>
      <c r="C24" s="154">
        <v>1970348.3006013019</v>
      </c>
      <c r="D24" s="154">
        <v>0</v>
      </c>
      <c r="E24" s="155">
        <f t="shared" si="0"/>
        <v>1970348.3006013019</v>
      </c>
      <c r="F24" s="162">
        <v>3072076</v>
      </c>
      <c r="G24" s="157">
        <v>98296.758904109578</v>
      </c>
      <c r="H24" s="157">
        <v>0</v>
      </c>
      <c r="I24" s="157">
        <v>0</v>
      </c>
      <c r="J24" s="158">
        <v>1873.4</v>
      </c>
      <c r="K24" s="158">
        <v>150784.19999999998</v>
      </c>
      <c r="L24" s="158">
        <v>0</v>
      </c>
      <c r="M24" s="158">
        <v>0</v>
      </c>
      <c r="N24" s="158">
        <v>0</v>
      </c>
      <c r="O24" s="158">
        <v>0</v>
      </c>
      <c r="P24" s="159">
        <v>165400</v>
      </c>
      <c r="Q24" s="159">
        <v>19073</v>
      </c>
      <c r="R24" s="159">
        <v>36550</v>
      </c>
      <c r="S24" s="159">
        <v>0</v>
      </c>
      <c r="T24" s="159">
        <v>0</v>
      </c>
      <c r="U24" s="159">
        <v>12100</v>
      </c>
      <c r="V24" s="158">
        <v>0</v>
      </c>
      <c r="W24" s="159">
        <v>6165</v>
      </c>
      <c r="X24" s="159">
        <v>2182</v>
      </c>
      <c r="Y24" s="159">
        <v>0</v>
      </c>
      <c r="Z24" s="159">
        <v>0</v>
      </c>
      <c r="AA24" s="159">
        <v>0</v>
      </c>
      <c r="AB24" s="159">
        <v>0</v>
      </c>
      <c r="AC24" s="159"/>
      <c r="AD24" s="159">
        <v>8700</v>
      </c>
      <c r="AE24" s="159">
        <v>0</v>
      </c>
      <c r="AF24" s="159">
        <v>1500</v>
      </c>
      <c r="AG24" s="159">
        <v>8268.76</v>
      </c>
      <c r="AH24" s="159">
        <v>5726.03</v>
      </c>
      <c r="AI24" s="160">
        <v>8317.75</v>
      </c>
      <c r="AJ24" s="162"/>
      <c r="AK24" s="161">
        <f t="shared" si="1"/>
        <v>2495285.1995054116</v>
      </c>
    </row>
    <row r="25" spans="1:37" ht="15.75" x14ac:dyDescent="0.3">
      <c r="A25" s="132">
        <v>3072083</v>
      </c>
      <c r="B25" s="129" t="s">
        <v>186</v>
      </c>
      <c r="C25" s="154">
        <v>2015636.6064755309</v>
      </c>
      <c r="D25" s="154">
        <v>144000</v>
      </c>
      <c r="E25" s="155">
        <f t="shared" si="0"/>
        <v>2159636.6064755311</v>
      </c>
      <c r="F25" s="162">
        <v>3074007</v>
      </c>
      <c r="G25" s="157">
        <v>119013.92328767136</v>
      </c>
      <c r="H25" s="157">
        <v>0</v>
      </c>
      <c r="I25" s="157">
        <v>186073.298630137</v>
      </c>
      <c r="J25" s="158">
        <v>936.7</v>
      </c>
      <c r="K25" s="158">
        <v>133724.51999999999</v>
      </c>
      <c r="L25" s="158">
        <v>62600</v>
      </c>
      <c r="M25" s="158">
        <v>0</v>
      </c>
      <c r="N25" s="158">
        <v>0</v>
      </c>
      <c r="O25" s="158">
        <v>0</v>
      </c>
      <c r="P25" s="159">
        <v>108945</v>
      </c>
      <c r="Q25" s="159">
        <v>19199</v>
      </c>
      <c r="R25" s="159">
        <v>55187</v>
      </c>
      <c r="S25" s="159">
        <v>0</v>
      </c>
      <c r="T25" s="159">
        <v>0</v>
      </c>
      <c r="U25" s="159">
        <v>14200</v>
      </c>
      <c r="V25" s="158">
        <v>0</v>
      </c>
      <c r="W25" s="159">
        <v>6797</v>
      </c>
      <c r="X25" s="159">
        <v>2405</v>
      </c>
      <c r="Y25" s="159">
        <v>0</v>
      </c>
      <c r="Z25" s="159">
        <v>0</v>
      </c>
      <c r="AA25" s="159">
        <v>0</v>
      </c>
      <c r="AB25" s="159">
        <v>0</v>
      </c>
      <c r="AC25" s="159"/>
      <c r="AD25" s="159">
        <v>6209</v>
      </c>
      <c r="AE25" s="159">
        <v>0</v>
      </c>
      <c r="AF25" s="159">
        <v>3000</v>
      </c>
      <c r="AG25" s="159">
        <v>6240.9400000000005</v>
      </c>
      <c r="AH25" s="159">
        <v>0</v>
      </c>
      <c r="AI25" s="160">
        <v>8502.25</v>
      </c>
      <c r="AJ25" s="162"/>
      <c r="AK25" s="161">
        <f t="shared" si="1"/>
        <v>2892670.2383933393</v>
      </c>
    </row>
    <row r="26" spans="1:37" ht="15.75" x14ac:dyDescent="0.3">
      <c r="A26" s="132">
        <v>3072088</v>
      </c>
      <c r="B26" s="129" t="s">
        <v>195</v>
      </c>
      <c r="C26" s="154">
        <v>2047949.0334521995</v>
      </c>
      <c r="D26" s="154">
        <v>210000</v>
      </c>
      <c r="E26" s="155">
        <f t="shared" si="0"/>
        <v>2257949.0334521998</v>
      </c>
      <c r="F26" s="162">
        <v>3073513</v>
      </c>
      <c r="G26" s="157">
        <v>92881.487452054804</v>
      </c>
      <c r="H26" s="157">
        <v>0</v>
      </c>
      <c r="I26" s="157">
        <v>261758.52945205473</v>
      </c>
      <c r="J26" s="158">
        <v>0</v>
      </c>
      <c r="K26" s="158">
        <v>105078.39999999999</v>
      </c>
      <c r="L26" s="158">
        <v>0</v>
      </c>
      <c r="M26" s="158">
        <v>0</v>
      </c>
      <c r="N26" s="158">
        <v>0</v>
      </c>
      <c r="O26" s="158">
        <v>0</v>
      </c>
      <c r="P26" s="159">
        <v>157365</v>
      </c>
      <c r="Q26" s="159">
        <v>19342</v>
      </c>
      <c r="R26" s="159">
        <v>50055</v>
      </c>
      <c r="S26" s="159">
        <v>1200</v>
      </c>
      <c r="T26" s="159">
        <v>0</v>
      </c>
      <c r="U26" s="159">
        <v>14330</v>
      </c>
      <c r="V26" s="158">
        <v>0</v>
      </c>
      <c r="W26" s="159">
        <v>7113</v>
      </c>
      <c r="X26" s="159">
        <v>2517</v>
      </c>
      <c r="Y26" s="159">
        <v>0</v>
      </c>
      <c r="Z26" s="159">
        <v>0</v>
      </c>
      <c r="AA26" s="159">
        <v>0</v>
      </c>
      <c r="AB26" s="159">
        <v>0</v>
      </c>
      <c r="AC26" s="159"/>
      <c r="AD26" s="159">
        <v>9182</v>
      </c>
      <c r="AE26" s="159">
        <v>0</v>
      </c>
      <c r="AF26" s="159">
        <v>1000</v>
      </c>
      <c r="AG26" s="159">
        <v>9174.3799999999992</v>
      </c>
      <c r="AH26" s="159">
        <v>0</v>
      </c>
      <c r="AI26" s="160">
        <v>8594.5</v>
      </c>
      <c r="AJ26" s="162"/>
      <c r="AK26" s="161">
        <f t="shared" si="1"/>
        <v>2997540.3303563092</v>
      </c>
    </row>
    <row r="27" spans="1:37" ht="15.75" x14ac:dyDescent="0.3">
      <c r="A27" s="132">
        <v>3072092</v>
      </c>
      <c r="B27" s="129" t="s">
        <v>201</v>
      </c>
      <c r="C27" s="154">
        <v>1877004.4125670407</v>
      </c>
      <c r="D27" s="154">
        <v>0</v>
      </c>
      <c r="E27" s="155">
        <f t="shared" si="0"/>
        <v>1877004.4125670407</v>
      </c>
      <c r="F27" s="162">
        <v>3072012</v>
      </c>
      <c r="G27" s="157">
        <v>37299.172602739709</v>
      </c>
      <c r="H27" s="157">
        <v>0</v>
      </c>
      <c r="I27" s="157">
        <v>0</v>
      </c>
      <c r="J27" s="158">
        <v>0</v>
      </c>
      <c r="K27" s="158">
        <v>98981.10000000002</v>
      </c>
      <c r="L27" s="158">
        <v>0</v>
      </c>
      <c r="M27" s="158">
        <v>0</v>
      </c>
      <c r="N27" s="158">
        <v>0</v>
      </c>
      <c r="O27" s="158">
        <v>0</v>
      </c>
      <c r="P27" s="159">
        <v>143915</v>
      </c>
      <c r="Q27" s="159">
        <v>18855</v>
      </c>
      <c r="R27" s="159">
        <v>42274</v>
      </c>
      <c r="S27" s="159">
        <v>0</v>
      </c>
      <c r="T27" s="159">
        <v>0</v>
      </c>
      <c r="U27" s="159">
        <v>11100</v>
      </c>
      <c r="V27" s="158">
        <v>0</v>
      </c>
      <c r="W27" s="159">
        <v>6638</v>
      </c>
      <c r="X27" s="159">
        <v>2349</v>
      </c>
      <c r="Y27" s="159">
        <v>0</v>
      </c>
      <c r="Z27" s="159">
        <v>0</v>
      </c>
      <c r="AA27" s="159">
        <v>1500</v>
      </c>
      <c r="AB27" s="159">
        <v>0</v>
      </c>
      <c r="AC27" s="159">
        <v>18270</v>
      </c>
      <c r="AD27" s="159">
        <v>7830</v>
      </c>
      <c r="AE27" s="159">
        <v>0</v>
      </c>
      <c r="AF27" s="159">
        <v>0</v>
      </c>
      <c r="AG27" s="159">
        <v>7323.76</v>
      </c>
      <c r="AH27" s="159">
        <v>0</v>
      </c>
      <c r="AI27" s="160">
        <v>8239</v>
      </c>
      <c r="AJ27" s="162"/>
      <c r="AK27" s="161">
        <f t="shared" si="1"/>
        <v>2281578.4451697804</v>
      </c>
    </row>
    <row r="28" spans="1:37" ht="15.75" x14ac:dyDescent="0.3">
      <c r="A28" s="132">
        <v>3072094</v>
      </c>
      <c r="B28" s="129" t="s">
        <v>202</v>
      </c>
      <c r="C28" s="154">
        <v>1947317.5135546282</v>
      </c>
      <c r="D28" s="154">
        <v>126000</v>
      </c>
      <c r="E28" s="155">
        <f t="shared" si="0"/>
        <v>2073317.5135546282</v>
      </c>
      <c r="F28" s="162">
        <v>3072011</v>
      </c>
      <c r="G28" s="157">
        <v>109441.93273972605</v>
      </c>
      <c r="H28" s="157">
        <v>0</v>
      </c>
      <c r="I28" s="157">
        <v>160289.98972602739</v>
      </c>
      <c r="J28" s="158">
        <v>0</v>
      </c>
      <c r="K28" s="158">
        <v>110390.24999999999</v>
      </c>
      <c r="L28" s="158">
        <v>0</v>
      </c>
      <c r="M28" s="158">
        <v>0</v>
      </c>
      <c r="N28" s="158">
        <v>0</v>
      </c>
      <c r="O28" s="158">
        <v>0</v>
      </c>
      <c r="P28" s="159">
        <v>161365</v>
      </c>
      <c r="Q28" s="159">
        <v>18933</v>
      </c>
      <c r="R28" s="159">
        <v>26417</v>
      </c>
      <c r="S28" s="159">
        <v>0</v>
      </c>
      <c r="T28" s="159">
        <v>0</v>
      </c>
      <c r="U28" s="159">
        <v>12860</v>
      </c>
      <c r="V28" s="158">
        <v>0</v>
      </c>
      <c r="W28" s="159">
        <v>3794</v>
      </c>
      <c r="X28" s="159">
        <v>1342</v>
      </c>
      <c r="Y28" s="159">
        <v>0</v>
      </c>
      <c r="Z28" s="159">
        <v>0</v>
      </c>
      <c r="AA28" s="159">
        <v>0</v>
      </c>
      <c r="AB28" s="159">
        <v>0</v>
      </c>
      <c r="AC28" s="159"/>
      <c r="AD28" s="159">
        <v>8895</v>
      </c>
      <c r="AE28" s="159">
        <v>2835</v>
      </c>
      <c r="AF28" s="159">
        <v>0</v>
      </c>
      <c r="AG28" s="159">
        <v>8085</v>
      </c>
      <c r="AH28" s="159">
        <v>0</v>
      </c>
      <c r="AI28" s="160">
        <v>8061.25</v>
      </c>
      <c r="AJ28" s="162"/>
      <c r="AK28" s="161">
        <f t="shared" si="1"/>
        <v>2706026.9360203817</v>
      </c>
    </row>
    <row r="29" spans="1:37" ht="15.75" x14ac:dyDescent="0.3">
      <c r="A29" s="132">
        <v>3072115</v>
      </c>
      <c r="B29" s="129" t="s">
        <v>230</v>
      </c>
      <c r="C29" s="154">
        <v>2043054.9460804036</v>
      </c>
      <c r="D29" s="154">
        <v>0</v>
      </c>
      <c r="E29" s="155">
        <f t="shared" si="0"/>
        <v>2043054.9460804036</v>
      </c>
      <c r="F29" s="162">
        <v>3072115</v>
      </c>
      <c r="G29" s="157">
        <v>124865.98863013701</v>
      </c>
      <c r="H29" s="157">
        <v>0</v>
      </c>
      <c r="I29" s="157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9">
        <v>111635</v>
      </c>
      <c r="Q29" s="159">
        <v>19529</v>
      </c>
      <c r="R29" s="159">
        <v>55501</v>
      </c>
      <c r="S29" s="159">
        <v>0</v>
      </c>
      <c r="T29" s="159">
        <v>0</v>
      </c>
      <c r="U29" s="159">
        <v>13760</v>
      </c>
      <c r="V29" s="158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/>
      <c r="AD29" s="159">
        <v>6017.5</v>
      </c>
      <c r="AE29" s="159">
        <v>0</v>
      </c>
      <c r="AF29" s="159">
        <v>0</v>
      </c>
      <c r="AG29" s="159">
        <v>5315.62</v>
      </c>
      <c r="AH29" s="159">
        <v>0</v>
      </c>
      <c r="AI29" s="160">
        <v>8691.25</v>
      </c>
      <c r="AJ29" s="162"/>
      <c r="AK29" s="161">
        <f t="shared" si="1"/>
        <v>2388370.3047105405</v>
      </c>
    </row>
    <row r="30" spans="1:37" ht="15.75" x14ac:dyDescent="0.3">
      <c r="A30" s="132">
        <v>3072121</v>
      </c>
      <c r="B30" s="129" t="s">
        <v>237</v>
      </c>
      <c r="C30" s="154">
        <v>3207480.6849514642</v>
      </c>
      <c r="D30" s="154">
        <v>0</v>
      </c>
      <c r="E30" s="155">
        <f t="shared" si="0"/>
        <v>3207480.6849514642</v>
      </c>
      <c r="F30" s="162">
        <v>3072121</v>
      </c>
      <c r="G30" s="157">
        <v>149484.06027397263</v>
      </c>
      <c r="H30" s="157">
        <v>0</v>
      </c>
      <c r="I30" s="157">
        <v>0</v>
      </c>
      <c r="J30" s="158">
        <v>0</v>
      </c>
      <c r="K30" s="158">
        <v>137354.45000000001</v>
      </c>
      <c r="L30" s="158">
        <v>0</v>
      </c>
      <c r="M30" s="158">
        <v>0</v>
      </c>
      <c r="N30" s="158">
        <v>0</v>
      </c>
      <c r="O30" s="158">
        <v>0</v>
      </c>
      <c r="P30" s="159">
        <v>243720</v>
      </c>
      <c r="Q30" s="159">
        <v>21221</v>
      </c>
      <c r="R30" s="159">
        <v>84567</v>
      </c>
      <c r="S30" s="159">
        <v>1200</v>
      </c>
      <c r="T30" s="159">
        <v>0</v>
      </c>
      <c r="U30" s="159">
        <v>20660</v>
      </c>
      <c r="V30" s="158">
        <v>0</v>
      </c>
      <c r="W30" s="159">
        <v>8061</v>
      </c>
      <c r="X30" s="159">
        <v>2853</v>
      </c>
      <c r="Y30" s="159">
        <v>0</v>
      </c>
      <c r="Z30" s="159">
        <v>6550.8200000000006</v>
      </c>
      <c r="AA30" s="159">
        <v>1500</v>
      </c>
      <c r="AB30" s="159">
        <v>0</v>
      </c>
      <c r="AC30" s="159"/>
      <c r="AD30" s="159">
        <v>12832.5</v>
      </c>
      <c r="AE30" s="159">
        <v>10290</v>
      </c>
      <c r="AF30" s="159">
        <v>0</v>
      </c>
      <c r="AG30" s="159">
        <v>12166.88</v>
      </c>
      <c r="AH30" s="159">
        <v>0</v>
      </c>
      <c r="AI30" s="160">
        <v>11264.12</v>
      </c>
      <c r="AJ30" s="162"/>
      <c r="AK30" s="161">
        <f t="shared" si="1"/>
        <v>3931205.5152254365</v>
      </c>
    </row>
    <row r="31" spans="1:37" ht="15.75" x14ac:dyDescent="0.3">
      <c r="A31" s="132">
        <v>3072125</v>
      </c>
      <c r="B31" s="129" t="s">
        <v>238</v>
      </c>
      <c r="C31" s="154">
        <v>2955895.9283987293</v>
      </c>
      <c r="D31" s="154">
        <v>126000</v>
      </c>
      <c r="E31" s="155">
        <f t="shared" si="0"/>
        <v>3081895.9283987293</v>
      </c>
      <c r="F31" s="162">
        <v>3072125</v>
      </c>
      <c r="G31" s="157">
        <v>87758.947945205407</v>
      </c>
      <c r="H31" s="157">
        <v>0</v>
      </c>
      <c r="I31" s="157">
        <v>137946.70273972605</v>
      </c>
      <c r="J31" s="158">
        <v>1873.4</v>
      </c>
      <c r="K31" s="158">
        <v>147333.70000000001</v>
      </c>
      <c r="L31" s="158">
        <v>0</v>
      </c>
      <c r="M31" s="158">
        <v>0</v>
      </c>
      <c r="N31" s="158">
        <v>0</v>
      </c>
      <c r="O31" s="158">
        <v>0</v>
      </c>
      <c r="P31" s="159">
        <v>255204.99999999994</v>
      </c>
      <c r="Q31" s="159">
        <v>20898</v>
      </c>
      <c r="R31" s="159">
        <v>75916</v>
      </c>
      <c r="S31" s="159">
        <v>0</v>
      </c>
      <c r="T31" s="159">
        <v>0</v>
      </c>
      <c r="U31" s="159">
        <v>21130</v>
      </c>
      <c r="V31" s="158">
        <v>0</v>
      </c>
      <c r="W31" s="159">
        <v>10274</v>
      </c>
      <c r="X31" s="159">
        <v>3636</v>
      </c>
      <c r="Y31" s="159">
        <v>0</v>
      </c>
      <c r="Z31" s="159">
        <v>0</v>
      </c>
      <c r="AA31" s="159">
        <v>0</v>
      </c>
      <c r="AB31" s="159">
        <v>0</v>
      </c>
      <c r="AC31" s="159"/>
      <c r="AD31" s="159">
        <v>14113.5</v>
      </c>
      <c r="AE31" s="159">
        <v>0</v>
      </c>
      <c r="AF31" s="159">
        <v>0</v>
      </c>
      <c r="AG31" s="159">
        <v>13400.62</v>
      </c>
      <c r="AH31" s="159">
        <v>0</v>
      </c>
      <c r="AI31" s="160">
        <v>10788.81</v>
      </c>
      <c r="AJ31" s="162"/>
      <c r="AK31" s="161">
        <f t="shared" si="1"/>
        <v>3882170.6090836609</v>
      </c>
    </row>
    <row r="32" spans="1:37" ht="15.75" x14ac:dyDescent="0.3">
      <c r="A32" s="132">
        <v>3072150</v>
      </c>
      <c r="B32" s="129" t="s">
        <v>217</v>
      </c>
      <c r="C32" s="154">
        <v>2034226.7327275702</v>
      </c>
      <c r="D32" s="154">
        <v>0</v>
      </c>
      <c r="E32" s="155">
        <f t="shared" si="0"/>
        <v>2034226.7327275702</v>
      </c>
      <c r="F32" s="162">
        <v>3072169</v>
      </c>
      <c r="G32" s="157">
        <v>100191.8589041096</v>
      </c>
      <c r="H32" s="157">
        <v>0</v>
      </c>
      <c r="I32" s="157">
        <v>0</v>
      </c>
      <c r="J32" s="158">
        <v>0</v>
      </c>
      <c r="K32" s="158">
        <v>195991.49999999997</v>
      </c>
      <c r="L32" s="158">
        <v>0</v>
      </c>
      <c r="M32" s="158">
        <v>0</v>
      </c>
      <c r="N32" s="158">
        <v>0</v>
      </c>
      <c r="O32" s="158">
        <v>0</v>
      </c>
      <c r="P32" s="159">
        <v>123395.00000000001</v>
      </c>
      <c r="Q32" s="159">
        <v>19595</v>
      </c>
      <c r="R32" s="159">
        <v>47388</v>
      </c>
      <c r="S32" s="159">
        <v>0</v>
      </c>
      <c r="T32" s="159">
        <v>0</v>
      </c>
      <c r="U32" s="159">
        <v>13260</v>
      </c>
      <c r="V32" s="158">
        <v>0</v>
      </c>
      <c r="W32" s="159">
        <v>11222</v>
      </c>
      <c r="X32" s="159">
        <v>3972</v>
      </c>
      <c r="Y32" s="159">
        <v>0</v>
      </c>
      <c r="Z32" s="159">
        <v>0</v>
      </c>
      <c r="AA32" s="159">
        <v>1500</v>
      </c>
      <c r="AB32" s="159">
        <v>0</v>
      </c>
      <c r="AC32" s="159"/>
      <c r="AD32" s="159">
        <v>6525</v>
      </c>
      <c r="AE32" s="159">
        <v>528.5</v>
      </c>
      <c r="AF32" s="159">
        <v>0</v>
      </c>
      <c r="AG32" s="159">
        <v>5906.26</v>
      </c>
      <c r="AH32" s="159">
        <v>0</v>
      </c>
      <c r="AI32" s="160">
        <v>9238</v>
      </c>
      <c r="AJ32" s="162"/>
      <c r="AK32" s="161">
        <f t="shared" si="1"/>
        <v>2572939.8516316796</v>
      </c>
    </row>
    <row r="33" spans="1:37" ht="15.75" x14ac:dyDescent="0.3">
      <c r="A33" s="132">
        <v>3072151</v>
      </c>
      <c r="B33" s="129" t="s">
        <v>219</v>
      </c>
      <c r="C33" s="154">
        <v>2355125.2778472682</v>
      </c>
      <c r="D33" s="154">
        <v>0</v>
      </c>
      <c r="E33" s="155">
        <f t="shared" si="0"/>
        <v>2355125.2778472682</v>
      </c>
      <c r="F33" s="162">
        <v>3072151</v>
      </c>
      <c r="G33" s="157">
        <v>116946.31616438361</v>
      </c>
      <c r="H33" s="157">
        <v>0</v>
      </c>
      <c r="I33" s="157">
        <v>0</v>
      </c>
      <c r="J33" s="158">
        <v>0</v>
      </c>
      <c r="K33" s="158">
        <v>75833.700000000012</v>
      </c>
      <c r="L33" s="158">
        <v>0</v>
      </c>
      <c r="M33" s="158">
        <v>0</v>
      </c>
      <c r="N33" s="158">
        <v>0</v>
      </c>
      <c r="O33" s="158">
        <v>0</v>
      </c>
      <c r="P33" s="159">
        <v>159710</v>
      </c>
      <c r="Q33" s="159">
        <v>20710</v>
      </c>
      <c r="R33" s="159">
        <v>51241</v>
      </c>
      <c r="S33" s="159">
        <v>1200</v>
      </c>
      <c r="T33" s="159">
        <v>0</v>
      </c>
      <c r="U33" s="159">
        <v>16630</v>
      </c>
      <c r="V33" s="158">
        <v>0</v>
      </c>
      <c r="W33" s="159">
        <v>4109</v>
      </c>
      <c r="X33" s="159">
        <v>1454</v>
      </c>
      <c r="Y33" s="159">
        <v>0</v>
      </c>
      <c r="Z33" s="159">
        <v>0</v>
      </c>
      <c r="AA33" s="159">
        <v>1500</v>
      </c>
      <c r="AB33" s="159">
        <v>0</v>
      </c>
      <c r="AC33" s="159"/>
      <c r="AD33" s="159">
        <v>8482.5</v>
      </c>
      <c r="AE33" s="159">
        <v>0</v>
      </c>
      <c r="AF33" s="159">
        <v>0</v>
      </c>
      <c r="AG33" s="159">
        <v>8032.5</v>
      </c>
      <c r="AH33" s="159">
        <v>0</v>
      </c>
      <c r="AI33" s="160">
        <v>10547.5</v>
      </c>
      <c r="AJ33" s="162"/>
      <c r="AK33" s="161">
        <f t="shared" si="1"/>
        <v>2831521.7940116515</v>
      </c>
    </row>
    <row r="34" spans="1:37" ht="15.75" x14ac:dyDescent="0.3">
      <c r="A34" s="132">
        <v>3072153</v>
      </c>
      <c r="B34" s="129" t="s">
        <v>222</v>
      </c>
      <c r="C34" s="154">
        <v>1927327.1770318095</v>
      </c>
      <c r="D34" s="154">
        <v>0</v>
      </c>
      <c r="E34" s="155">
        <f t="shared" ref="E34:E65" si="3">SUM(C34:D34)</f>
        <v>1927327.1770318095</v>
      </c>
      <c r="F34" s="162">
        <v>3072153</v>
      </c>
      <c r="G34" s="157">
        <v>74298.645342465723</v>
      </c>
      <c r="H34" s="157">
        <v>0</v>
      </c>
      <c r="I34" s="157">
        <v>0</v>
      </c>
      <c r="J34" s="158">
        <v>0</v>
      </c>
      <c r="K34" s="158">
        <v>66583.8</v>
      </c>
      <c r="L34" s="158">
        <v>0</v>
      </c>
      <c r="M34" s="158">
        <v>0</v>
      </c>
      <c r="N34" s="158">
        <v>0</v>
      </c>
      <c r="O34" s="158">
        <v>0</v>
      </c>
      <c r="P34" s="159">
        <v>188300</v>
      </c>
      <c r="Q34" s="159">
        <v>18890</v>
      </c>
      <c r="R34" s="159">
        <v>38514</v>
      </c>
      <c r="S34" s="159">
        <v>0</v>
      </c>
      <c r="T34" s="159">
        <v>0</v>
      </c>
      <c r="U34" s="159">
        <v>11560</v>
      </c>
      <c r="V34" s="158">
        <v>0</v>
      </c>
      <c r="W34" s="159">
        <v>4109</v>
      </c>
      <c r="X34" s="159">
        <v>1454</v>
      </c>
      <c r="Y34" s="159">
        <v>0</v>
      </c>
      <c r="Z34" s="159">
        <v>0</v>
      </c>
      <c r="AA34" s="159">
        <v>0</v>
      </c>
      <c r="AB34" s="159">
        <v>0</v>
      </c>
      <c r="AC34" s="159"/>
      <c r="AD34" s="159">
        <v>10222.5</v>
      </c>
      <c r="AE34" s="159">
        <v>0</v>
      </c>
      <c r="AF34" s="159">
        <v>0</v>
      </c>
      <c r="AG34" s="159">
        <v>8859.3799999999992</v>
      </c>
      <c r="AH34" s="159">
        <v>0</v>
      </c>
      <c r="AI34" s="160">
        <v>8208.6200000000008</v>
      </c>
      <c r="AJ34" s="162"/>
      <c r="AK34" s="161">
        <f t="shared" si="1"/>
        <v>2358327.1223742752</v>
      </c>
    </row>
    <row r="35" spans="1:37" ht="15.75" x14ac:dyDescent="0.3">
      <c r="A35" s="132">
        <v>3072154</v>
      </c>
      <c r="B35" s="129" t="s">
        <v>239</v>
      </c>
      <c r="C35" s="154">
        <v>1768506.5604969969</v>
      </c>
      <c r="D35" s="154">
        <v>0</v>
      </c>
      <c r="E35" s="155">
        <f t="shared" si="3"/>
        <v>1768506.5604969969</v>
      </c>
      <c r="F35" s="162">
        <v>3072154</v>
      </c>
      <c r="G35" s="157">
        <v>56102.693150684951</v>
      </c>
      <c r="H35" s="157">
        <v>0</v>
      </c>
      <c r="I35" s="157">
        <v>0</v>
      </c>
      <c r="J35" s="158">
        <v>0</v>
      </c>
      <c r="K35" s="158">
        <v>76028.399999999994</v>
      </c>
      <c r="L35" s="158">
        <v>0</v>
      </c>
      <c r="M35" s="158">
        <v>0</v>
      </c>
      <c r="N35" s="158">
        <v>0</v>
      </c>
      <c r="O35" s="158">
        <v>0</v>
      </c>
      <c r="P35" s="159">
        <v>127085</v>
      </c>
      <c r="Q35" s="159">
        <v>19023</v>
      </c>
      <c r="R35" s="159">
        <v>43887</v>
      </c>
      <c r="S35" s="159">
        <v>0</v>
      </c>
      <c r="T35" s="159">
        <v>0</v>
      </c>
      <c r="U35" s="159">
        <v>12060</v>
      </c>
      <c r="V35" s="158">
        <v>0</v>
      </c>
      <c r="W35" s="159">
        <v>3952</v>
      </c>
      <c r="X35" s="159">
        <v>1399</v>
      </c>
      <c r="Y35" s="159">
        <v>0</v>
      </c>
      <c r="Z35" s="159">
        <v>0</v>
      </c>
      <c r="AA35" s="159">
        <v>0</v>
      </c>
      <c r="AB35" s="159">
        <v>0</v>
      </c>
      <c r="AC35" s="159"/>
      <c r="AD35" s="159">
        <v>6670</v>
      </c>
      <c r="AE35" s="159">
        <v>6422.5</v>
      </c>
      <c r="AF35" s="159">
        <v>0</v>
      </c>
      <c r="AG35" s="159">
        <v>6024.38</v>
      </c>
      <c r="AH35" s="159">
        <v>0</v>
      </c>
      <c r="AI35" s="160">
        <v>8470.75</v>
      </c>
      <c r="AJ35" s="162"/>
      <c r="AK35" s="161">
        <f t="shared" ref="AK35:AK98" si="4">SUM(G35:AI35)+E35</f>
        <v>2135631.2836476816</v>
      </c>
    </row>
    <row r="36" spans="1:37" ht="15.75" x14ac:dyDescent="0.3">
      <c r="A36" s="132">
        <v>3072161</v>
      </c>
      <c r="B36" s="129" t="s">
        <v>182</v>
      </c>
      <c r="C36" s="154">
        <v>1256950.7501595244</v>
      </c>
      <c r="D36" s="154">
        <v>85500</v>
      </c>
      <c r="E36" s="155">
        <f t="shared" si="3"/>
        <v>1342450.7501595244</v>
      </c>
      <c r="F36" s="162">
        <v>3076905</v>
      </c>
      <c r="G36" s="157">
        <v>120731.53424657536</v>
      </c>
      <c r="H36" s="157">
        <v>0</v>
      </c>
      <c r="I36" s="157">
        <v>221912.74543378994</v>
      </c>
      <c r="J36" s="158">
        <v>0</v>
      </c>
      <c r="K36" s="158">
        <v>136438.94999999998</v>
      </c>
      <c r="L36" s="158">
        <v>0</v>
      </c>
      <c r="M36" s="158">
        <v>0</v>
      </c>
      <c r="N36" s="158">
        <v>0</v>
      </c>
      <c r="O36" s="158">
        <v>0</v>
      </c>
      <c r="P36" s="159">
        <v>105219.99999999999</v>
      </c>
      <c r="Q36" s="159">
        <v>17920</v>
      </c>
      <c r="R36" s="159">
        <v>27232</v>
      </c>
      <c r="S36" s="159">
        <v>1200</v>
      </c>
      <c r="T36" s="159">
        <v>0</v>
      </c>
      <c r="U36" s="159">
        <v>8330</v>
      </c>
      <c r="V36" s="158">
        <v>0</v>
      </c>
      <c r="W36" s="159">
        <v>7428</v>
      </c>
      <c r="X36" s="159">
        <v>2630</v>
      </c>
      <c r="Y36" s="159">
        <v>0</v>
      </c>
      <c r="Z36" s="159">
        <v>0</v>
      </c>
      <c r="AA36" s="159">
        <v>0</v>
      </c>
      <c r="AB36" s="159">
        <v>0</v>
      </c>
      <c r="AC36" s="159"/>
      <c r="AD36" s="159">
        <v>5882.5</v>
      </c>
      <c r="AE36" s="159">
        <v>0</v>
      </c>
      <c r="AF36" s="159">
        <v>0</v>
      </c>
      <c r="AG36" s="159">
        <v>5768.44</v>
      </c>
      <c r="AH36" s="159">
        <v>0</v>
      </c>
      <c r="AI36" s="160">
        <v>6812.5</v>
      </c>
      <c r="AJ36" s="162"/>
      <c r="AK36" s="161">
        <f t="shared" si="4"/>
        <v>2009957.4198398897</v>
      </c>
    </row>
    <row r="37" spans="1:37" ht="15.75" x14ac:dyDescent="0.3">
      <c r="A37" s="132">
        <v>3072162</v>
      </c>
      <c r="B37" s="129" t="s">
        <v>189</v>
      </c>
      <c r="C37" s="154">
        <v>1954657.0445896615</v>
      </c>
      <c r="D37" s="154">
        <v>0</v>
      </c>
      <c r="E37" s="155">
        <f t="shared" si="3"/>
        <v>1954657.0445896615</v>
      </c>
      <c r="F37" s="162">
        <v>3072006</v>
      </c>
      <c r="G37" s="157">
        <v>92051.397260273981</v>
      </c>
      <c r="H37" s="157">
        <v>0</v>
      </c>
      <c r="I37" s="157">
        <v>0</v>
      </c>
      <c r="J37" s="158">
        <v>0</v>
      </c>
      <c r="K37" s="158">
        <v>172545.15000000002</v>
      </c>
      <c r="L37" s="158">
        <v>0</v>
      </c>
      <c r="M37" s="158">
        <v>0</v>
      </c>
      <c r="N37" s="158">
        <v>0</v>
      </c>
      <c r="O37" s="158">
        <v>0</v>
      </c>
      <c r="P37" s="159">
        <v>114325</v>
      </c>
      <c r="Q37" s="159">
        <v>19470</v>
      </c>
      <c r="R37" s="159">
        <v>40552</v>
      </c>
      <c r="S37" s="159">
        <v>1200</v>
      </c>
      <c r="T37" s="159">
        <v>0</v>
      </c>
      <c r="U37" s="159">
        <v>13000</v>
      </c>
      <c r="V37" s="158">
        <v>0</v>
      </c>
      <c r="W37" s="159">
        <v>10274</v>
      </c>
      <c r="X37" s="159">
        <v>3636</v>
      </c>
      <c r="Y37" s="159">
        <v>0</v>
      </c>
      <c r="Z37" s="159">
        <v>0</v>
      </c>
      <c r="AA37" s="159">
        <v>0</v>
      </c>
      <c r="AB37" s="159">
        <v>0</v>
      </c>
      <c r="AC37" s="159"/>
      <c r="AD37" s="159">
        <v>6162.5</v>
      </c>
      <c r="AE37" s="159">
        <v>1890</v>
      </c>
      <c r="AF37" s="159">
        <v>0</v>
      </c>
      <c r="AG37" s="159">
        <v>5670</v>
      </c>
      <c r="AH37" s="159">
        <v>0</v>
      </c>
      <c r="AI37" s="160">
        <v>9134.5</v>
      </c>
      <c r="AJ37" s="162"/>
      <c r="AK37" s="161">
        <f t="shared" si="4"/>
        <v>2444567.5918499357</v>
      </c>
    </row>
    <row r="38" spans="1:37" ht="15.75" x14ac:dyDescent="0.3">
      <c r="A38" s="132">
        <v>3072163</v>
      </c>
      <c r="B38" s="129" t="s">
        <v>194</v>
      </c>
      <c r="C38" s="154">
        <v>2182007.6296817521</v>
      </c>
      <c r="D38" s="154">
        <v>0</v>
      </c>
      <c r="E38" s="155">
        <f t="shared" si="3"/>
        <v>2182007.6296817521</v>
      </c>
      <c r="F38" s="162">
        <v>3077007</v>
      </c>
      <c r="G38" s="157">
        <v>125053.17808219178</v>
      </c>
      <c r="H38" s="157">
        <v>0</v>
      </c>
      <c r="I38" s="157">
        <v>0</v>
      </c>
      <c r="J38" s="158">
        <v>0</v>
      </c>
      <c r="K38" s="158">
        <v>125054.55</v>
      </c>
      <c r="L38" s="158">
        <v>0</v>
      </c>
      <c r="M38" s="158">
        <v>0</v>
      </c>
      <c r="N38" s="158">
        <v>0</v>
      </c>
      <c r="O38" s="158">
        <v>0</v>
      </c>
      <c r="P38" s="159">
        <v>172814.99999999997</v>
      </c>
      <c r="Q38" s="159">
        <v>19742</v>
      </c>
      <c r="R38" s="159">
        <v>35679</v>
      </c>
      <c r="S38" s="159">
        <v>1200</v>
      </c>
      <c r="T38" s="159">
        <v>0</v>
      </c>
      <c r="U38" s="159">
        <v>14100</v>
      </c>
      <c r="V38" s="158">
        <v>0</v>
      </c>
      <c r="W38" s="159">
        <v>7903</v>
      </c>
      <c r="X38" s="159">
        <v>2798</v>
      </c>
      <c r="Y38" s="159">
        <v>0</v>
      </c>
      <c r="Z38" s="159">
        <v>0</v>
      </c>
      <c r="AA38" s="159">
        <v>0</v>
      </c>
      <c r="AB38" s="159">
        <v>0</v>
      </c>
      <c r="AC38" s="159"/>
      <c r="AD38" s="159">
        <v>9135</v>
      </c>
      <c r="AE38" s="159">
        <v>9126</v>
      </c>
      <c r="AF38" s="159">
        <v>0</v>
      </c>
      <c r="AG38" s="159">
        <v>8268.76</v>
      </c>
      <c r="AH38" s="159">
        <v>0</v>
      </c>
      <c r="AI38" s="160">
        <v>9283</v>
      </c>
      <c r="AJ38" s="162"/>
      <c r="AK38" s="161">
        <f t="shared" si="4"/>
        <v>2722165.117763944</v>
      </c>
    </row>
    <row r="39" spans="1:37" ht="15.75" x14ac:dyDescent="0.3">
      <c r="A39" s="132">
        <v>3072164</v>
      </c>
      <c r="B39" s="129" t="s">
        <v>196</v>
      </c>
      <c r="C39" s="154">
        <v>2056248.7972894504</v>
      </c>
      <c r="D39" s="154">
        <v>0</v>
      </c>
      <c r="E39" s="155">
        <f t="shared" si="3"/>
        <v>2056248.7972894504</v>
      </c>
      <c r="F39" s="162">
        <v>3072163</v>
      </c>
      <c r="G39" s="157">
        <v>93078.797397260336</v>
      </c>
      <c r="H39" s="157">
        <v>0</v>
      </c>
      <c r="I39" s="157">
        <v>0</v>
      </c>
      <c r="J39" s="158">
        <v>2185.62</v>
      </c>
      <c r="K39" s="158">
        <v>136308.74999999997</v>
      </c>
      <c r="L39" s="158">
        <v>0</v>
      </c>
      <c r="M39" s="158">
        <v>0</v>
      </c>
      <c r="N39" s="158">
        <v>0</v>
      </c>
      <c r="O39" s="158">
        <v>0</v>
      </c>
      <c r="P39" s="159">
        <v>151985.00000000003</v>
      </c>
      <c r="Q39" s="159">
        <v>19465</v>
      </c>
      <c r="R39" s="159">
        <v>47536</v>
      </c>
      <c r="S39" s="159">
        <v>1200</v>
      </c>
      <c r="T39" s="159">
        <v>0</v>
      </c>
      <c r="U39" s="159">
        <v>12860</v>
      </c>
      <c r="V39" s="158">
        <v>0</v>
      </c>
      <c r="W39" s="159">
        <v>7428</v>
      </c>
      <c r="X39" s="159">
        <v>2630</v>
      </c>
      <c r="Y39" s="159">
        <v>0</v>
      </c>
      <c r="Z39" s="159">
        <v>0</v>
      </c>
      <c r="AA39" s="159">
        <v>0</v>
      </c>
      <c r="AB39" s="159">
        <v>0</v>
      </c>
      <c r="AC39" s="159"/>
      <c r="AD39" s="159">
        <v>8192.5</v>
      </c>
      <c r="AE39" s="159">
        <v>0</v>
      </c>
      <c r="AF39" s="159">
        <v>1500</v>
      </c>
      <c r="AG39" s="159">
        <v>7560</v>
      </c>
      <c r="AH39" s="159">
        <v>0</v>
      </c>
      <c r="AI39" s="160">
        <v>8923</v>
      </c>
      <c r="AJ39" s="162"/>
      <c r="AK39" s="161">
        <f t="shared" si="4"/>
        <v>2557101.4646867109</v>
      </c>
    </row>
    <row r="40" spans="1:37" ht="15.75" x14ac:dyDescent="0.3">
      <c r="A40" s="132">
        <v>3072165</v>
      </c>
      <c r="B40" s="129" t="s">
        <v>197</v>
      </c>
      <c r="C40" s="154">
        <v>2123014.4704096895</v>
      </c>
      <c r="D40" s="154">
        <v>0</v>
      </c>
      <c r="E40" s="155">
        <f t="shared" si="3"/>
        <v>2123014.4704096895</v>
      </c>
      <c r="F40" s="162">
        <v>3072088</v>
      </c>
      <c r="G40" s="157">
        <v>52125.989041095898</v>
      </c>
      <c r="H40" s="157">
        <v>0</v>
      </c>
      <c r="I40" s="157">
        <v>0</v>
      </c>
      <c r="J40" s="158">
        <v>0</v>
      </c>
      <c r="K40" s="158">
        <v>111391.05</v>
      </c>
      <c r="L40" s="158">
        <v>0</v>
      </c>
      <c r="M40" s="158">
        <v>0</v>
      </c>
      <c r="N40" s="158">
        <v>0</v>
      </c>
      <c r="O40" s="158">
        <v>0</v>
      </c>
      <c r="P40" s="159">
        <v>178884.99999999997</v>
      </c>
      <c r="Q40" s="159">
        <v>19654</v>
      </c>
      <c r="R40" s="159">
        <v>49036</v>
      </c>
      <c r="S40" s="159">
        <v>0</v>
      </c>
      <c r="T40" s="159">
        <v>0</v>
      </c>
      <c r="U40" s="159">
        <v>13600</v>
      </c>
      <c r="V40" s="158">
        <v>0</v>
      </c>
      <c r="W40" s="159">
        <v>5216</v>
      </c>
      <c r="X40" s="159">
        <v>1846</v>
      </c>
      <c r="Y40" s="159">
        <v>0</v>
      </c>
      <c r="Z40" s="159">
        <v>599.29999999999995</v>
      </c>
      <c r="AA40" s="159">
        <v>0</v>
      </c>
      <c r="AB40" s="159">
        <v>0</v>
      </c>
      <c r="AC40" s="159"/>
      <c r="AD40" s="159">
        <v>9642.5</v>
      </c>
      <c r="AE40" s="159">
        <v>0</v>
      </c>
      <c r="AF40" s="159">
        <v>0</v>
      </c>
      <c r="AG40" s="159">
        <v>8977.5</v>
      </c>
      <c r="AH40" s="159">
        <v>0</v>
      </c>
      <c r="AI40" s="160">
        <v>9364</v>
      </c>
      <c r="AJ40" s="162"/>
      <c r="AK40" s="161">
        <f t="shared" si="4"/>
        <v>2583351.8094507852</v>
      </c>
    </row>
    <row r="41" spans="1:37" ht="15.75" x14ac:dyDescent="0.3">
      <c r="A41" s="132">
        <v>3072166</v>
      </c>
      <c r="B41" s="129" t="s">
        <v>204</v>
      </c>
      <c r="C41" s="154">
        <v>1989008.3517843431</v>
      </c>
      <c r="D41" s="154">
        <v>0</v>
      </c>
      <c r="E41" s="155">
        <f t="shared" si="3"/>
        <v>1989008.3517843431</v>
      </c>
      <c r="F41" s="162">
        <v>3072094</v>
      </c>
      <c r="G41" s="157">
        <v>16511.865753424649</v>
      </c>
      <c r="H41" s="157">
        <v>0</v>
      </c>
      <c r="I41" s="157">
        <v>0</v>
      </c>
      <c r="J41" s="158">
        <v>0</v>
      </c>
      <c r="K41" s="158">
        <v>212512.35000000003</v>
      </c>
      <c r="L41" s="158">
        <v>0</v>
      </c>
      <c r="M41" s="158">
        <v>0</v>
      </c>
      <c r="N41" s="158">
        <v>0</v>
      </c>
      <c r="O41" s="158">
        <v>0</v>
      </c>
      <c r="P41" s="159">
        <v>53800</v>
      </c>
      <c r="Q41" s="159">
        <v>19467</v>
      </c>
      <c r="R41" s="159">
        <v>60447</v>
      </c>
      <c r="S41" s="159">
        <v>0</v>
      </c>
      <c r="T41" s="159">
        <v>0</v>
      </c>
      <c r="U41" s="159">
        <v>13230</v>
      </c>
      <c r="V41" s="158">
        <v>0</v>
      </c>
      <c r="W41" s="159">
        <v>8851</v>
      </c>
      <c r="X41" s="159">
        <v>3132</v>
      </c>
      <c r="Y41" s="159">
        <v>0</v>
      </c>
      <c r="Z41" s="159">
        <v>0</v>
      </c>
      <c r="AA41" s="159">
        <v>0</v>
      </c>
      <c r="AB41" s="159">
        <v>0</v>
      </c>
      <c r="AC41" s="159"/>
      <c r="AD41" s="159">
        <v>2900</v>
      </c>
      <c r="AE41" s="159">
        <v>0</v>
      </c>
      <c r="AF41" s="159">
        <v>0</v>
      </c>
      <c r="AG41" s="159">
        <v>2598.7600000000002</v>
      </c>
      <c r="AH41" s="159">
        <v>0</v>
      </c>
      <c r="AI41" s="160">
        <v>9109.75</v>
      </c>
      <c r="AJ41" s="162"/>
      <c r="AK41" s="161">
        <f t="shared" si="4"/>
        <v>2391568.0775377676</v>
      </c>
    </row>
    <row r="42" spans="1:37" ht="15.75" x14ac:dyDescent="0.3">
      <c r="A42" s="132">
        <v>3072167</v>
      </c>
      <c r="B42" s="129" t="s">
        <v>212</v>
      </c>
      <c r="C42" s="154">
        <v>3525005.0000000005</v>
      </c>
      <c r="D42" s="154">
        <v>0</v>
      </c>
      <c r="E42" s="155">
        <f t="shared" si="3"/>
        <v>3525005.0000000005</v>
      </c>
      <c r="F42" s="162">
        <v>3074031</v>
      </c>
      <c r="G42" s="157">
        <v>259067.43342465753</v>
      </c>
      <c r="H42" s="157">
        <v>0</v>
      </c>
      <c r="I42" s="157">
        <v>0</v>
      </c>
      <c r="J42" s="158">
        <v>17556.849999999995</v>
      </c>
      <c r="K42" s="158">
        <v>539160.04999999993</v>
      </c>
      <c r="L42" s="158">
        <v>0</v>
      </c>
      <c r="M42" s="158">
        <v>0</v>
      </c>
      <c r="N42" s="158">
        <v>0</v>
      </c>
      <c r="O42" s="158">
        <v>0</v>
      </c>
      <c r="P42" s="159">
        <v>103494.99999999999</v>
      </c>
      <c r="Q42" s="159">
        <v>23139</v>
      </c>
      <c r="R42" s="159">
        <v>155369</v>
      </c>
      <c r="S42" s="159">
        <v>0</v>
      </c>
      <c r="T42" s="159">
        <v>0</v>
      </c>
      <c r="U42" s="159">
        <v>27530</v>
      </c>
      <c r="V42" s="158">
        <v>0</v>
      </c>
      <c r="W42" s="159">
        <v>20706</v>
      </c>
      <c r="X42" s="159">
        <v>7329</v>
      </c>
      <c r="Y42" s="159">
        <v>0</v>
      </c>
      <c r="Z42" s="159">
        <v>9337.5499999999993</v>
      </c>
      <c r="AA42" s="159">
        <v>0</v>
      </c>
      <c r="AB42" s="159">
        <v>0</v>
      </c>
      <c r="AC42" s="159"/>
      <c r="AD42" s="159">
        <v>5002.5</v>
      </c>
      <c r="AE42" s="159">
        <v>0</v>
      </c>
      <c r="AF42" s="159">
        <v>0</v>
      </c>
      <c r="AG42" s="159">
        <v>4606.88</v>
      </c>
      <c r="AH42" s="159">
        <v>0</v>
      </c>
      <c r="AI42" s="160">
        <v>14651.5</v>
      </c>
      <c r="AJ42" s="162"/>
      <c r="AK42" s="161">
        <f t="shared" si="4"/>
        <v>4711955.7634246582</v>
      </c>
    </row>
    <row r="43" spans="1:37" ht="15.75" x14ac:dyDescent="0.3">
      <c r="A43" s="132">
        <v>3072168</v>
      </c>
      <c r="B43" s="129" t="s">
        <v>213</v>
      </c>
      <c r="C43" s="154">
        <v>4649012.7778530288</v>
      </c>
      <c r="D43" s="154">
        <v>42500</v>
      </c>
      <c r="E43" s="155">
        <f t="shared" si="3"/>
        <v>4691512.7778530288</v>
      </c>
      <c r="F43" s="162">
        <v>3072180</v>
      </c>
      <c r="G43" s="157">
        <v>250234.27452054794</v>
      </c>
      <c r="H43" s="157">
        <v>0</v>
      </c>
      <c r="I43" s="157">
        <v>64681.666666666657</v>
      </c>
      <c r="J43" s="158">
        <v>0</v>
      </c>
      <c r="K43" s="158">
        <v>246170.25000000003</v>
      </c>
      <c r="L43" s="158">
        <v>0</v>
      </c>
      <c r="M43" s="158">
        <v>0</v>
      </c>
      <c r="N43" s="158">
        <v>0</v>
      </c>
      <c r="O43" s="158">
        <v>0</v>
      </c>
      <c r="P43" s="159">
        <v>417224.99999999988</v>
      </c>
      <c r="Q43" s="159">
        <v>23190</v>
      </c>
      <c r="R43" s="159">
        <v>107613</v>
      </c>
      <c r="S43" s="159">
        <v>0</v>
      </c>
      <c r="T43" s="159">
        <v>0</v>
      </c>
      <c r="U43" s="159">
        <v>28830</v>
      </c>
      <c r="V43" s="158">
        <v>0</v>
      </c>
      <c r="W43" s="159">
        <v>14700</v>
      </c>
      <c r="X43" s="159">
        <v>5203</v>
      </c>
      <c r="Y43" s="159">
        <v>0</v>
      </c>
      <c r="Z43" s="159">
        <v>0</v>
      </c>
      <c r="AA43" s="159">
        <v>0</v>
      </c>
      <c r="AB43" s="159">
        <v>0</v>
      </c>
      <c r="AC43" s="159"/>
      <c r="AD43" s="159">
        <v>22614.5</v>
      </c>
      <c r="AE43" s="159">
        <v>7700</v>
      </c>
      <c r="AF43" s="159">
        <v>0</v>
      </c>
      <c r="AG43" s="159">
        <v>20934.37</v>
      </c>
      <c r="AH43" s="159">
        <v>7912.33</v>
      </c>
      <c r="AI43" s="160">
        <v>14102.5</v>
      </c>
      <c r="AJ43" s="162"/>
      <c r="AK43" s="161">
        <f t="shared" si="4"/>
        <v>5922623.6690402441</v>
      </c>
    </row>
    <row r="44" spans="1:37" ht="15.75" x14ac:dyDescent="0.3">
      <c r="A44" s="132">
        <v>3072169</v>
      </c>
      <c r="B44" s="129" t="s">
        <v>216</v>
      </c>
      <c r="C44" s="154">
        <v>2855149.9060301413</v>
      </c>
      <c r="D44" s="154">
        <v>0</v>
      </c>
      <c r="E44" s="155">
        <f t="shared" si="3"/>
        <v>2855149.9060301413</v>
      </c>
      <c r="F44" s="162">
        <v>3072187</v>
      </c>
      <c r="G44" s="157">
        <v>63160.879452054804</v>
      </c>
      <c r="H44" s="157">
        <v>0</v>
      </c>
      <c r="I44" s="157">
        <v>0</v>
      </c>
      <c r="J44" s="158">
        <v>0</v>
      </c>
      <c r="K44" s="158">
        <v>110774.55000000002</v>
      </c>
      <c r="L44" s="158">
        <v>0</v>
      </c>
      <c r="M44" s="158">
        <v>0</v>
      </c>
      <c r="N44" s="158">
        <v>0</v>
      </c>
      <c r="O44" s="158">
        <v>0</v>
      </c>
      <c r="P44" s="159">
        <v>147605</v>
      </c>
      <c r="Q44" s="159">
        <v>20855</v>
      </c>
      <c r="R44" s="159">
        <v>71822</v>
      </c>
      <c r="S44" s="159">
        <v>0</v>
      </c>
      <c r="T44" s="159">
        <v>0</v>
      </c>
      <c r="U44" s="159">
        <v>18960</v>
      </c>
      <c r="V44" s="158">
        <v>0</v>
      </c>
      <c r="W44" s="159">
        <v>6638</v>
      </c>
      <c r="X44" s="159">
        <v>2349</v>
      </c>
      <c r="Y44" s="159">
        <v>0</v>
      </c>
      <c r="Z44" s="159">
        <v>0</v>
      </c>
      <c r="AA44" s="159">
        <v>1500</v>
      </c>
      <c r="AB44" s="159">
        <v>0</v>
      </c>
      <c r="AC44" s="159"/>
      <c r="AD44" s="159">
        <v>7902.5</v>
      </c>
      <c r="AE44" s="159">
        <v>0</v>
      </c>
      <c r="AF44" s="159">
        <v>0</v>
      </c>
      <c r="AG44" s="159">
        <v>7560</v>
      </c>
      <c r="AH44" s="159">
        <v>0</v>
      </c>
      <c r="AI44" s="160">
        <v>10923.25</v>
      </c>
      <c r="AJ44" s="162"/>
      <c r="AK44" s="161">
        <f t="shared" si="4"/>
        <v>3325200.085482196</v>
      </c>
    </row>
    <row r="45" spans="1:37" ht="15.75" x14ac:dyDescent="0.3">
      <c r="A45" s="132">
        <v>3072170</v>
      </c>
      <c r="B45" s="129" t="s">
        <v>218</v>
      </c>
      <c r="C45" s="154">
        <v>2000262.6499242589</v>
      </c>
      <c r="D45" s="154">
        <v>97113.37000000001</v>
      </c>
      <c r="E45" s="155">
        <f t="shared" si="3"/>
        <v>2097376.0199242588</v>
      </c>
      <c r="F45" s="162">
        <v>3072150</v>
      </c>
      <c r="G45" s="157">
        <v>79190.608219178088</v>
      </c>
      <c r="H45" s="157">
        <v>0</v>
      </c>
      <c r="I45" s="157">
        <v>51949.333333333336</v>
      </c>
      <c r="J45" s="158">
        <v>0</v>
      </c>
      <c r="K45" s="158">
        <v>120852.9</v>
      </c>
      <c r="L45" s="158">
        <v>0</v>
      </c>
      <c r="M45" s="158">
        <v>0</v>
      </c>
      <c r="N45" s="158">
        <v>0</v>
      </c>
      <c r="O45" s="158">
        <v>0</v>
      </c>
      <c r="P45" s="159">
        <v>156020.00000000003</v>
      </c>
      <c r="Q45" s="159">
        <v>19287</v>
      </c>
      <c r="R45" s="159">
        <v>43608</v>
      </c>
      <c r="S45" s="159">
        <v>0</v>
      </c>
      <c r="T45" s="159">
        <v>0</v>
      </c>
      <c r="U45" s="159">
        <v>12100</v>
      </c>
      <c r="V45" s="158">
        <v>0</v>
      </c>
      <c r="W45" s="159">
        <v>7271</v>
      </c>
      <c r="X45" s="159">
        <v>2573</v>
      </c>
      <c r="Y45" s="159">
        <v>0</v>
      </c>
      <c r="Z45" s="159">
        <v>0</v>
      </c>
      <c r="AA45" s="159">
        <v>0</v>
      </c>
      <c r="AB45" s="159">
        <v>0</v>
      </c>
      <c r="AC45" s="159"/>
      <c r="AD45" s="159">
        <v>8410</v>
      </c>
      <c r="AE45" s="159">
        <v>1434</v>
      </c>
      <c r="AF45" s="159">
        <v>0</v>
      </c>
      <c r="AG45" s="159">
        <v>8032.5</v>
      </c>
      <c r="AH45" s="159">
        <v>0</v>
      </c>
      <c r="AI45" s="160">
        <v>8837.5</v>
      </c>
      <c r="AJ45" s="162"/>
      <c r="AK45" s="161">
        <f t="shared" si="4"/>
        <v>2616941.8614767701</v>
      </c>
    </row>
    <row r="46" spans="1:37" ht="15.75" x14ac:dyDescent="0.3">
      <c r="A46" s="132">
        <v>3072171</v>
      </c>
      <c r="B46" s="129" t="s">
        <v>221</v>
      </c>
      <c r="C46" s="154">
        <v>3701988.7680184422</v>
      </c>
      <c r="D46" s="154">
        <v>0</v>
      </c>
      <c r="E46" s="155">
        <f t="shared" si="3"/>
        <v>3701988.7680184422</v>
      </c>
      <c r="F46" s="162">
        <v>3072171</v>
      </c>
      <c r="G46" s="157">
        <v>137029.86575342467</v>
      </c>
      <c r="H46" s="157">
        <v>0</v>
      </c>
      <c r="I46" s="157">
        <v>0</v>
      </c>
      <c r="J46" s="158">
        <v>1873.4</v>
      </c>
      <c r="K46" s="158">
        <v>205013.84999999995</v>
      </c>
      <c r="L46" s="158">
        <v>0</v>
      </c>
      <c r="M46" s="158">
        <v>0</v>
      </c>
      <c r="N46" s="158">
        <v>0</v>
      </c>
      <c r="O46" s="158">
        <v>0</v>
      </c>
      <c r="P46" s="159">
        <v>172469.99999999997</v>
      </c>
      <c r="Q46" s="159">
        <v>22815</v>
      </c>
      <c r="R46" s="159">
        <v>121599</v>
      </c>
      <c r="S46" s="159">
        <v>0</v>
      </c>
      <c r="T46" s="159">
        <v>0</v>
      </c>
      <c r="U46" s="159">
        <v>26200</v>
      </c>
      <c r="V46" s="158">
        <v>0</v>
      </c>
      <c r="W46" s="159">
        <v>9641</v>
      </c>
      <c r="X46" s="159">
        <v>3412</v>
      </c>
      <c r="Y46" s="159">
        <v>0</v>
      </c>
      <c r="Z46" s="159">
        <v>6303.54</v>
      </c>
      <c r="AA46" s="159">
        <v>0</v>
      </c>
      <c r="AB46" s="159">
        <v>0</v>
      </c>
      <c r="AC46" s="159"/>
      <c r="AD46" s="159">
        <v>8917.5</v>
      </c>
      <c r="AE46" s="159">
        <v>0</v>
      </c>
      <c r="AF46" s="159">
        <v>0</v>
      </c>
      <c r="AG46" s="159">
        <v>8386.880000000001</v>
      </c>
      <c r="AH46" s="159">
        <v>0</v>
      </c>
      <c r="AI46" s="160">
        <v>13619.88</v>
      </c>
      <c r="AJ46" s="162"/>
      <c r="AK46" s="161">
        <f t="shared" si="4"/>
        <v>4439270.6837718673</v>
      </c>
    </row>
    <row r="47" spans="1:37" ht="15.75" x14ac:dyDescent="0.3">
      <c r="A47" s="132">
        <v>3072172</v>
      </c>
      <c r="B47" s="129" t="s">
        <v>259</v>
      </c>
      <c r="C47" s="154">
        <v>2837918.3235162366</v>
      </c>
      <c r="D47" s="154">
        <v>144000</v>
      </c>
      <c r="E47" s="155">
        <f t="shared" si="3"/>
        <v>2981918.3235162366</v>
      </c>
      <c r="F47" s="162">
        <v>3072172</v>
      </c>
      <c r="G47" s="157">
        <v>103984.17452054794</v>
      </c>
      <c r="H47" s="157">
        <v>0</v>
      </c>
      <c r="I47" s="157">
        <v>149011.03287671233</v>
      </c>
      <c r="J47" s="158">
        <v>0</v>
      </c>
      <c r="K47" s="158">
        <v>111227.15</v>
      </c>
      <c r="L47" s="158">
        <v>0</v>
      </c>
      <c r="M47" s="158">
        <v>0</v>
      </c>
      <c r="N47" s="158">
        <v>0</v>
      </c>
      <c r="O47" s="158">
        <v>0</v>
      </c>
      <c r="P47" s="159">
        <v>285140</v>
      </c>
      <c r="Q47" s="159">
        <v>20633</v>
      </c>
      <c r="R47" s="159">
        <v>37162</v>
      </c>
      <c r="S47" s="159">
        <v>0</v>
      </c>
      <c r="T47" s="159">
        <v>0</v>
      </c>
      <c r="U47" s="159">
        <v>18030</v>
      </c>
      <c r="V47" s="158">
        <v>0</v>
      </c>
      <c r="W47" s="159">
        <v>6007</v>
      </c>
      <c r="X47" s="159">
        <v>2126</v>
      </c>
      <c r="Y47" s="159">
        <v>0</v>
      </c>
      <c r="Z47" s="159">
        <v>0</v>
      </c>
      <c r="AA47" s="159">
        <v>0</v>
      </c>
      <c r="AB47" s="159">
        <v>0</v>
      </c>
      <c r="AC47" s="159"/>
      <c r="AD47" s="159">
        <v>15964.5</v>
      </c>
      <c r="AE47" s="159">
        <v>0</v>
      </c>
      <c r="AF47" s="159">
        <v>1000</v>
      </c>
      <c r="AG47" s="159">
        <v>14109.380000000001</v>
      </c>
      <c r="AH47" s="159">
        <v>0</v>
      </c>
      <c r="AI47" s="160">
        <v>10495.75</v>
      </c>
      <c r="AJ47" s="162"/>
      <c r="AK47" s="161">
        <f t="shared" si="4"/>
        <v>3756808.3109134967</v>
      </c>
    </row>
    <row r="48" spans="1:37" ht="15.75" x14ac:dyDescent="0.3">
      <c r="A48" s="132">
        <v>3072173</v>
      </c>
      <c r="B48" s="129" t="s">
        <v>223</v>
      </c>
      <c r="C48" s="154">
        <v>2952155.8950725798</v>
      </c>
      <c r="D48" s="154">
        <v>0</v>
      </c>
      <c r="E48" s="155">
        <f t="shared" si="3"/>
        <v>2952155.8950725798</v>
      </c>
      <c r="F48" s="162">
        <v>3072173</v>
      </c>
      <c r="G48" s="157">
        <v>51878.366164383551</v>
      </c>
      <c r="H48" s="157">
        <v>0</v>
      </c>
      <c r="I48" s="157">
        <v>0</v>
      </c>
      <c r="J48" s="158">
        <v>0</v>
      </c>
      <c r="K48" s="158">
        <v>165425.99999999997</v>
      </c>
      <c r="L48" s="158">
        <v>0</v>
      </c>
      <c r="M48" s="158">
        <v>0</v>
      </c>
      <c r="N48" s="158">
        <v>0</v>
      </c>
      <c r="O48" s="158">
        <v>0</v>
      </c>
      <c r="P48" s="159">
        <v>207130</v>
      </c>
      <c r="Q48" s="159">
        <v>21108</v>
      </c>
      <c r="R48" s="159">
        <v>67876</v>
      </c>
      <c r="S48" s="159">
        <v>0</v>
      </c>
      <c r="T48" s="159">
        <v>0</v>
      </c>
      <c r="U48" s="159">
        <v>19730</v>
      </c>
      <c r="V48" s="158">
        <v>0</v>
      </c>
      <c r="W48" s="159">
        <v>10116</v>
      </c>
      <c r="X48" s="159">
        <v>3580</v>
      </c>
      <c r="Y48" s="159">
        <v>0</v>
      </c>
      <c r="Z48" s="159">
        <v>0</v>
      </c>
      <c r="AA48" s="159">
        <v>0</v>
      </c>
      <c r="AB48" s="159">
        <v>0</v>
      </c>
      <c r="AC48" s="159"/>
      <c r="AD48" s="159">
        <v>11165</v>
      </c>
      <c r="AE48" s="159">
        <v>0</v>
      </c>
      <c r="AF48" s="159">
        <v>0</v>
      </c>
      <c r="AG48" s="159">
        <v>10513.12</v>
      </c>
      <c r="AH48" s="159">
        <v>0</v>
      </c>
      <c r="AI48" s="160">
        <v>11281</v>
      </c>
      <c r="AJ48" s="162"/>
      <c r="AK48" s="161">
        <f t="shared" si="4"/>
        <v>3531959.3812369634</v>
      </c>
    </row>
    <row r="49" spans="1:37" ht="15.75" x14ac:dyDescent="0.3">
      <c r="A49" s="132">
        <v>3072174</v>
      </c>
      <c r="B49" s="129" t="s">
        <v>224</v>
      </c>
      <c r="C49" s="154">
        <v>2677127.4898610208</v>
      </c>
      <c r="D49" s="154">
        <v>0</v>
      </c>
      <c r="E49" s="155">
        <f t="shared" si="3"/>
        <v>2677127.4898610208</v>
      </c>
      <c r="F49" s="162">
        <v>3072174</v>
      </c>
      <c r="G49" s="157">
        <v>144855.11232876714</v>
      </c>
      <c r="H49" s="157">
        <v>0</v>
      </c>
      <c r="I49" s="157">
        <v>0</v>
      </c>
      <c r="J49" s="158">
        <v>2810.1000000000004</v>
      </c>
      <c r="K49" s="158">
        <v>205290.23999999999</v>
      </c>
      <c r="L49" s="158">
        <v>0</v>
      </c>
      <c r="M49" s="158">
        <v>0</v>
      </c>
      <c r="N49" s="158">
        <v>0</v>
      </c>
      <c r="O49" s="158">
        <v>0</v>
      </c>
      <c r="P49" s="159">
        <v>98080.000000000029</v>
      </c>
      <c r="Q49" s="159">
        <v>21317</v>
      </c>
      <c r="R49" s="159">
        <v>102573</v>
      </c>
      <c r="S49" s="159">
        <v>1200</v>
      </c>
      <c r="T49" s="159">
        <v>0</v>
      </c>
      <c r="U49" s="159">
        <v>20660</v>
      </c>
      <c r="V49" s="158">
        <v>0</v>
      </c>
      <c r="W49" s="159">
        <v>8219</v>
      </c>
      <c r="X49" s="159">
        <v>2909</v>
      </c>
      <c r="Y49" s="159">
        <v>0</v>
      </c>
      <c r="Z49" s="159">
        <v>2581.21</v>
      </c>
      <c r="AA49" s="159">
        <v>0</v>
      </c>
      <c r="AB49" s="159">
        <v>0</v>
      </c>
      <c r="AC49" s="159"/>
      <c r="AD49" s="159">
        <v>4567.5</v>
      </c>
      <c r="AE49" s="159">
        <v>1305</v>
      </c>
      <c r="AF49" s="159">
        <v>0</v>
      </c>
      <c r="AG49" s="159">
        <v>4370.62</v>
      </c>
      <c r="AH49" s="159">
        <v>0</v>
      </c>
      <c r="AI49" s="160">
        <v>11520.85</v>
      </c>
      <c r="AJ49" s="162"/>
      <c r="AK49" s="161">
        <f t="shared" si="4"/>
        <v>3309386.1221897881</v>
      </c>
    </row>
    <row r="50" spans="1:37" ht="15.75" x14ac:dyDescent="0.3">
      <c r="A50" s="132">
        <v>3072175</v>
      </c>
      <c r="B50" s="129" t="s">
        <v>232</v>
      </c>
      <c r="C50" s="154">
        <v>2016452.6234934151</v>
      </c>
      <c r="D50" s="154">
        <v>0</v>
      </c>
      <c r="E50" s="155">
        <f t="shared" si="3"/>
        <v>2016452.6234934151</v>
      </c>
      <c r="F50" s="162">
        <v>3072175</v>
      </c>
      <c r="G50" s="157">
        <v>117295.4465753425</v>
      </c>
      <c r="H50" s="157">
        <v>0</v>
      </c>
      <c r="I50" s="157">
        <v>0</v>
      </c>
      <c r="J50" s="158">
        <v>0</v>
      </c>
      <c r="K50" s="158">
        <v>143479.34999999998</v>
      </c>
      <c r="L50" s="158">
        <v>0</v>
      </c>
      <c r="M50" s="158">
        <v>0</v>
      </c>
      <c r="N50" s="158">
        <v>0</v>
      </c>
      <c r="O50" s="158">
        <v>0</v>
      </c>
      <c r="P50" s="159">
        <v>114289.99999999997</v>
      </c>
      <c r="Q50" s="159">
        <v>19767</v>
      </c>
      <c r="R50" s="159">
        <v>50000</v>
      </c>
      <c r="S50" s="159">
        <v>0</v>
      </c>
      <c r="T50" s="159">
        <v>0</v>
      </c>
      <c r="U50" s="159">
        <v>14400</v>
      </c>
      <c r="V50" s="158">
        <v>0</v>
      </c>
      <c r="W50" s="159">
        <v>6165</v>
      </c>
      <c r="X50" s="159">
        <v>2182</v>
      </c>
      <c r="Y50" s="159">
        <v>0</v>
      </c>
      <c r="Z50" s="159">
        <v>5111.0600000000004</v>
      </c>
      <c r="AA50" s="159">
        <v>0</v>
      </c>
      <c r="AB50" s="159">
        <v>0</v>
      </c>
      <c r="AC50" s="159"/>
      <c r="AD50" s="159">
        <v>5800</v>
      </c>
      <c r="AE50" s="159">
        <v>0</v>
      </c>
      <c r="AF50" s="159">
        <v>0</v>
      </c>
      <c r="AG50" s="159">
        <v>5197.5</v>
      </c>
      <c r="AH50" s="159">
        <v>0</v>
      </c>
      <c r="AI50" s="160">
        <v>9272.8799999999992</v>
      </c>
      <c r="AJ50" s="162"/>
      <c r="AK50" s="161">
        <f t="shared" si="4"/>
        <v>2509412.8600687576</v>
      </c>
    </row>
    <row r="51" spans="1:37" ht="15.75" x14ac:dyDescent="0.3">
      <c r="A51" s="132">
        <v>3072176</v>
      </c>
      <c r="B51" s="129" t="s">
        <v>235</v>
      </c>
      <c r="C51" s="154">
        <v>2110138.2613635021</v>
      </c>
      <c r="D51" s="154">
        <v>0</v>
      </c>
      <c r="E51" s="155">
        <f t="shared" si="3"/>
        <v>2110138.2613635021</v>
      </c>
      <c r="F51" s="162">
        <v>3072176</v>
      </c>
      <c r="G51" s="157">
        <v>72862.385068493182</v>
      </c>
      <c r="H51" s="157">
        <v>0</v>
      </c>
      <c r="I51" s="157">
        <v>0</v>
      </c>
      <c r="J51" s="158">
        <v>1873.4</v>
      </c>
      <c r="K51" s="158">
        <v>138347.25</v>
      </c>
      <c r="L51" s="158">
        <v>0</v>
      </c>
      <c r="M51" s="158">
        <v>0</v>
      </c>
      <c r="N51" s="158">
        <v>0</v>
      </c>
      <c r="O51" s="158">
        <v>0</v>
      </c>
      <c r="P51" s="159">
        <v>163745</v>
      </c>
      <c r="Q51" s="159">
        <v>19531</v>
      </c>
      <c r="R51" s="159">
        <v>55557</v>
      </c>
      <c r="S51" s="159">
        <v>0</v>
      </c>
      <c r="T51" s="159">
        <v>0</v>
      </c>
      <c r="U51" s="159">
        <v>13660</v>
      </c>
      <c r="V51" s="158">
        <v>0</v>
      </c>
      <c r="W51" s="159">
        <v>7903</v>
      </c>
      <c r="X51" s="159">
        <v>2798</v>
      </c>
      <c r="Y51" s="159">
        <v>0</v>
      </c>
      <c r="Z51" s="159">
        <v>2133</v>
      </c>
      <c r="AA51" s="159">
        <v>0</v>
      </c>
      <c r="AB51" s="159">
        <v>0</v>
      </c>
      <c r="AC51" s="159"/>
      <c r="AD51" s="159">
        <v>8772.5</v>
      </c>
      <c r="AE51" s="159">
        <v>0</v>
      </c>
      <c r="AF51" s="159">
        <v>0</v>
      </c>
      <c r="AG51" s="159">
        <v>7914.38</v>
      </c>
      <c r="AH51" s="159">
        <v>0</v>
      </c>
      <c r="AI51" s="160">
        <v>9031</v>
      </c>
      <c r="AJ51" s="162"/>
      <c r="AK51" s="161">
        <f t="shared" si="4"/>
        <v>2614266.1764319954</v>
      </c>
    </row>
    <row r="52" spans="1:37" ht="15.75" x14ac:dyDescent="0.3">
      <c r="A52" s="132">
        <v>3072177</v>
      </c>
      <c r="B52" s="129" t="s">
        <v>249</v>
      </c>
      <c r="C52" s="154">
        <v>1802621.5845733047</v>
      </c>
      <c r="D52" s="154">
        <v>0</v>
      </c>
      <c r="E52" s="155">
        <f t="shared" si="3"/>
        <v>1802621.5845733047</v>
      </c>
      <c r="F52" s="162">
        <v>3072177</v>
      </c>
      <c r="G52" s="157">
        <v>62719.848904109604</v>
      </c>
      <c r="H52" s="157">
        <v>0</v>
      </c>
      <c r="I52" s="157">
        <v>0</v>
      </c>
      <c r="J52" s="158">
        <v>936.7</v>
      </c>
      <c r="K52" s="158">
        <v>117132.3</v>
      </c>
      <c r="L52" s="158">
        <v>0</v>
      </c>
      <c r="M52" s="158">
        <v>0</v>
      </c>
      <c r="N52" s="158">
        <v>0</v>
      </c>
      <c r="O52" s="158">
        <v>0</v>
      </c>
      <c r="P52" s="159">
        <v>136845</v>
      </c>
      <c r="Q52" s="159">
        <v>19170</v>
      </c>
      <c r="R52" s="159">
        <v>45443</v>
      </c>
      <c r="S52" s="159">
        <v>0</v>
      </c>
      <c r="T52" s="159">
        <v>0</v>
      </c>
      <c r="U52" s="159">
        <v>11900</v>
      </c>
      <c r="V52" s="158">
        <v>0</v>
      </c>
      <c r="W52" s="159">
        <v>5374</v>
      </c>
      <c r="X52" s="159">
        <v>1902</v>
      </c>
      <c r="Y52" s="159">
        <v>0</v>
      </c>
      <c r="Z52" s="159">
        <v>0</v>
      </c>
      <c r="AA52" s="159">
        <v>0</v>
      </c>
      <c r="AB52" s="159">
        <v>0</v>
      </c>
      <c r="AC52" s="159"/>
      <c r="AD52" s="159">
        <v>7250</v>
      </c>
      <c r="AE52" s="159">
        <v>0</v>
      </c>
      <c r="AF52" s="159">
        <v>0</v>
      </c>
      <c r="AG52" s="159">
        <v>6615</v>
      </c>
      <c r="AH52" s="159">
        <v>0</v>
      </c>
      <c r="AI52" s="160">
        <v>8505.6200000000008</v>
      </c>
      <c r="AJ52" s="162"/>
      <c r="AK52" s="161">
        <f t="shared" si="4"/>
        <v>2226415.0534774144</v>
      </c>
    </row>
    <row r="53" spans="1:37" ht="15.75" x14ac:dyDescent="0.3">
      <c r="A53" s="132">
        <v>3072178</v>
      </c>
      <c r="B53" s="129" t="s">
        <v>254</v>
      </c>
      <c r="C53" s="154">
        <v>1174523.5286833344</v>
      </c>
      <c r="D53" s="154">
        <v>0</v>
      </c>
      <c r="E53" s="155">
        <f t="shared" si="3"/>
        <v>1174523.5286833344</v>
      </c>
      <c r="F53" s="162">
        <v>3072178</v>
      </c>
      <c r="G53" s="157">
        <v>64006.379178082214</v>
      </c>
      <c r="H53" s="157">
        <v>0</v>
      </c>
      <c r="I53" s="157">
        <v>0</v>
      </c>
      <c r="J53" s="158">
        <v>1873.4</v>
      </c>
      <c r="K53" s="158">
        <v>60252.63</v>
      </c>
      <c r="L53" s="158">
        <v>0</v>
      </c>
      <c r="M53" s="158">
        <v>0</v>
      </c>
      <c r="N53" s="158">
        <v>0</v>
      </c>
      <c r="O53" s="158">
        <v>0</v>
      </c>
      <c r="P53" s="159">
        <v>122395.00000000003</v>
      </c>
      <c r="Q53" s="159">
        <v>17714</v>
      </c>
      <c r="R53" s="159">
        <v>25102</v>
      </c>
      <c r="S53" s="159">
        <v>0</v>
      </c>
      <c r="T53" s="159">
        <v>0</v>
      </c>
      <c r="U53" s="159">
        <v>6600</v>
      </c>
      <c r="V53" s="158">
        <v>0</v>
      </c>
      <c r="W53" s="159">
        <v>2845</v>
      </c>
      <c r="X53" s="159">
        <v>1007</v>
      </c>
      <c r="Y53" s="159">
        <v>0</v>
      </c>
      <c r="Z53" s="159">
        <v>0</v>
      </c>
      <c r="AA53" s="159">
        <v>0</v>
      </c>
      <c r="AB53" s="159">
        <v>0</v>
      </c>
      <c r="AC53" s="159"/>
      <c r="AD53" s="159">
        <v>6597.5</v>
      </c>
      <c r="AE53" s="159">
        <v>0</v>
      </c>
      <c r="AF53" s="159">
        <v>1500</v>
      </c>
      <c r="AG53" s="159">
        <v>6496.88</v>
      </c>
      <c r="AH53" s="159">
        <v>0</v>
      </c>
      <c r="AI53" s="160">
        <v>6369.25</v>
      </c>
      <c r="AJ53" s="162"/>
      <c r="AK53" s="161">
        <f t="shared" si="4"/>
        <v>1497282.5678614166</v>
      </c>
    </row>
    <row r="54" spans="1:37" ht="15.75" x14ac:dyDescent="0.3">
      <c r="A54" s="132">
        <v>3072179</v>
      </c>
      <c r="B54" s="129" t="s">
        <v>260</v>
      </c>
      <c r="C54" s="154">
        <v>1558251.9406060537</v>
      </c>
      <c r="D54" s="154">
        <v>0</v>
      </c>
      <c r="E54" s="155">
        <f t="shared" si="3"/>
        <v>1558251.9406060537</v>
      </c>
      <c r="F54" s="162">
        <v>3072179</v>
      </c>
      <c r="G54" s="157">
        <v>39799.149041095901</v>
      </c>
      <c r="H54" s="157">
        <v>0</v>
      </c>
      <c r="I54" s="157">
        <v>0</v>
      </c>
      <c r="J54" s="158">
        <v>0</v>
      </c>
      <c r="K54" s="158">
        <v>48718.05</v>
      </c>
      <c r="L54" s="158">
        <v>32194.29</v>
      </c>
      <c r="M54" s="158">
        <v>0</v>
      </c>
      <c r="N54" s="158">
        <v>0</v>
      </c>
      <c r="O54" s="158">
        <v>0</v>
      </c>
      <c r="P54" s="159">
        <v>108600</v>
      </c>
      <c r="Q54" s="159">
        <v>18675</v>
      </c>
      <c r="R54" s="159">
        <v>25658</v>
      </c>
      <c r="S54" s="159">
        <v>0</v>
      </c>
      <c r="T54" s="159">
        <v>0</v>
      </c>
      <c r="U54" s="159">
        <v>9430</v>
      </c>
      <c r="V54" s="158">
        <v>0</v>
      </c>
      <c r="W54" s="159">
        <v>3794</v>
      </c>
      <c r="X54" s="159">
        <v>1342</v>
      </c>
      <c r="Y54" s="159">
        <v>0</v>
      </c>
      <c r="Z54" s="159">
        <v>0</v>
      </c>
      <c r="AA54" s="159">
        <v>0</v>
      </c>
      <c r="AB54" s="159">
        <v>0</v>
      </c>
      <c r="AC54" s="159"/>
      <c r="AD54" s="159">
        <v>5872.5</v>
      </c>
      <c r="AE54" s="159">
        <v>0</v>
      </c>
      <c r="AF54" s="159">
        <v>0</v>
      </c>
      <c r="AG54" s="159">
        <v>5433.76</v>
      </c>
      <c r="AH54" s="159">
        <v>0</v>
      </c>
      <c r="AI54" s="160">
        <v>7663</v>
      </c>
      <c r="AJ54" s="162"/>
      <c r="AK54" s="161">
        <f t="shared" si="4"/>
        <v>1865431.6896471498</v>
      </c>
    </row>
    <row r="55" spans="1:37" ht="15.75" x14ac:dyDescent="0.3">
      <c r="A55" s="132">
        <v>3072180</v>
      </c>
      <c r="B55" s="129" t="s">
        <v>211</v>
      </c>
      <c r="C55" s="154">
        <v>3324470.3910149345</v>
      </c>
      <c r="D55" s="154">
        <v>0</v>
      </c>
      <c r="E55" s="155">
        <f t="shared" si="3"/>
        <v>3324470.3910149345</v>
      </c>
      <c r="F55" s="162">
        <v>3074036</v>
      </c>
      <c r="G55" s="157">
        <v>201835.46849315078</v>
      </c>
      <c r="H55" s="157">
        <v>0</v>
      </c>
      <c r="I55" s="157">
        <v>0</v>
      </c>
      <c r="J55" s="158">
        <v>3746.7900000000004</v>
      </c>
      <c r="K55" s="158">
        <v>228561.00000000003</v>
      </c>
      <c r="L55" s="158">
        <v>0</v>
      </c>
      <c r="M55" s="158">
        <v>0</v>
      </c>
      <c r="N55" s="158">
        <v>0</v>
      </c>
      <c r="O55" s="158">
        <v>0</v>
      </c>
      <c r="P55" s="159">
        <v>217200.00000000003</v>
      </c>
      <c r="Q55" s="159">
        <v>21323</v>
      </c>
      <c r="R55" s="159">
        <v>72470</v>
      </c>
      <c r="S55" s="159">
        <v>0</v>
      </c>
      <c r="T55" s="159">
        <v>0</v>
      </c>
      <c r="U55" s="159">
        <v>20360</v>
      </c>
      <c r="V55" s="158">
        <v>0</v>
      </c>
      <c r="W55" s="159">
        <v>12170</v>
      </c>
      <c r="X55" s="159">
        <v>4308</v>
      </c>
      <c r="Y55" s="159">
        <v>0</v>
      </c>
      <c r="Z55" s="159">
        <v>0</v>
      </c>
      <c r="AA55" s="159">
        <v>0</v>
      </c>
      <c r="AB55" s="159">
        <v>0</v>
      </c>
      <c r="AC55" s="159"/>
      <c r="AD55" s="159">
        <v>11527.5</v>
      </c>
      <c r="AE55" s="159">
        <v>3690</v>
      </c>
      <c r="AF55" s="159">
        <v>0</v>
      </c>
      <c r="AG55" s="159">
        <v>10631.25</v>
      </c>
      <c r="AH55" s="159">
        <v>0</v>
      </c>
      <c r="AI55" s="160">
        <v>11670.25</v>
      </c>
      <c r="AJ55" s="162"/>
      <c r="AK55" s="161">
        <f t="shared" si="4"/>
        <v>4143963.6495080851</v>
      </c>
    </row>
    <row r="56" spans="1:37" ht="15.75" x14ac:dyDescent="0.3">
      <c r="A56" s="132">
        <v>3072181</v>
      </c>
      <c r="B56" s="129" t="s">
        <v>250</v>
      </c>
      <c r="C56" s="154">
        <v>2070571.8955361177</v>
      </c>
      <c r="D56" s="154">
        <v>0</v>
      </c>
      <c r="E56" s="155">
        <f t="shared" si="3"/>
        <v>2070571.8955361177</v>
      </c>
      <c r="F56" s="162">
        <v>3072181</v>
      </c>
      <c r="G56" s="157">
        <v>124904.45630136991</v>
      </c>
      <c r="H56" s="157">
        <v>0</v>
      </c>
      <c r="I56" s="157">
        <v>0</v>
      </c>
      <c r="J56" s="158">
        <v>0</v>
      </c>
      <c r="K56" s="158">
        <v>179844.30000000002</v>
      </c>
      <c r="L56" s="158">
        <v>0</v>
      </c>
      <c r="M56" s="158">
        <v>0</v>
      </c>
      <c r="N56" s="158">
        <v>0</v>
      </c>
      <c r="O56" s="158">
        <v>0</v>
      </c>
      <c r="P56" s="159">
        <v>186955</v>
      </c>
      <c r="Q56" s="159">
        <v>19341</v>
      </c>
      <c r="R56" s="159">
        <v>45090</v>
      </c>
      <c r="S56" s="159">
        <v>0</v>
      </c>
      <c r="T56" s="159">
        <v>0</v>
      </c>
      <c r="U56" s="159">
        <v>12830</v>
      </c>
      <c r="V56" s="158">
        <v>0</v>
      </c>
      <c r="W56" s="159">
        <v>8378</v>
      </c>
      <c r="X56" s="159">
        <v>2964</v>
      </c>
      <c r="Y56" s="159">
        <v>0</v>
      </c>
      <c r="Z56" s="159">
        <v>0</v>
      </c>
      <c r="AA56" s="159">
        <v>1500</v>
      </c>
      <c r="AB56" s="159">
        <v>0</v>
      </c>
      <c r="AC56" s="159"/>
      <c r="AD56" s="159">
        <v>10077.5</v>
      </c>
      <c r="AE56" s="159">
        <v>0</v>
      </c>
      <c r="AF56" s="159">
        <v>0</v>
      </c>
      <c r="AG56" s="159">
        <v>9331.8799999999992</v>
      </c>
      <c r="AH56" s="159">
        <v>0</v>
      </c>
      <c r="AI56" s="160">
        <v>8644</v>
      </c>
      <c r="AJ56" s="162"/>
      <c r="AK56" s="161">
        <f t="shared" si="4"/>
        <v>2680432.0318374876</v>
      </c>
    </row>
    <row r="57" spans="1:37" ht="15.75" x14ac:dyDescent="0.3">
      <c r="A57" s="132">
        <v>3072182</v>
      </c>
      <c r="B57" s="129" t="s">
        <v>226</v>
      </c>
      <c r="C57" s="154">
        <v>2830280.7918613502</v>
      </c>
      <c r="D57" s="154">
        <v>0</v>
      </c>
      <c r="E57" s="155">
        <f t="shared" si="3"/>
        <v>2830280.7918613502</v>
      </c>
      <c r="F57" s="162">
        <v>3072182</v>
      </c>
      <c r="G57" s="157">
        <v>127782.00890410962</v>
      </c>
      <c r="H57" s="157">
        <v>0</v>
      </c>
      <c r="I57" s="157">
        <v>0</v>
      </c>
      <c r="J57" s="158">
        <v>1873.4</v>
      </c>
      <c r="K57" s="158">
        <v>149445.9</v>
      </c>
      <c r="L57" s="158">
        <v>0</v>
      </c>
      <c r="M57" s="158">
        <v>0</v>
      </c>
      <c r="N57" s="158">
        <v>0</v>
      </c>
      <c r="O57" s="158">
        <v>0</v>
      </c>
      <c r="P57" s="159">
        <v>136120.00000000003</v>
      </c>
      <c r="Q57" s="159">
        <v>21366</v>
      </c>
      <c r="R57" s="159">
        <v>103518</v>
      </c>
      <c r="S57" s="159">
        <v>0</v>
      </c>
      <c r="T57" s="159">
        <v>0</v>
      </c>
      <c r="U57" s="159">
        <v>20830</v>
      </c>
      <c r="V57" s="158">
        <v>0</v>
      </c>
      <c r="W57" s="159">
        <v>8219</v>
      </c>
      <c r="X57" s="159">
        <v>2909</v>
      </c>
      <c r="Y57" s="159">
        <v>0</v>
      </c>
      <c r="Z57" s="159">
        <v>0</v>
      </c>
      <c r="AA57" s="159">
        <v>0</v>
      </c>
      <c r="AB57" s="159">
        <v>0</v>
      </c>
      <c r="AC57" s="159"/>
      <c r="AD57" s="159">
        <v>6887.5</v>
      </c>
      <c r="AE57" s="159">
        <v>0</v>
      </c>
      <c r="AF57" s="159">
        <v>0</v>
      </c>
      <c r="AG57" s="159">
        <v>6260.62</v>
      </c>
      <c r="AH57" s="159">
        <v>0</v>
      </c>
      <c r="AI57" s="160">
        <v>11427.25</v>
      </c>
      <c r="AJ57" s="162"/>
      <c r="AK57" s="161">
        <f t="shared" si="4"/>
        <v>3426919.4707654598</v>
      </c>
    </row>
    <row r="58" spans="1:37" ht="15.75" x14ac:dyDescent="0.3">
      <c r="A58" s="132">
        <v>3072183</v>
      </c>
      <c r="B58" s="129" t="s">
        <v>251</v>
      </c>
      <c r="C58" s="154">
        <v>2094409.7801861139</v>
      </c>
      <c r="D58" s="154">
        <v>0</v>
      </c>
      <c r="E58" s="155">
        <f t="shared" si="3"/>
        <v>2094409.7801861139</v>
      </c>
      <c r="F58" s="162">
        <v>3072183</v>
      </c>
      <c r="G58" s="157">
        <v>109819.32972602744</v>
      </c>
      <c r="H58" s="157">
        <v>0</v>
      </c>
      <c r="I58" s="157">
        <v>0</v>
      </c>
      <c r="J58" s="158">
        <v>2497.85</v>
      </c>
      <c r="K58" s="158">
        <v>115981.34999999998</v>
      </c>
      <c r="L58" s="158">
        <v>0</v>
      </c>
      <c r="M58" s="158">
        <v>0</v>
      </c>
      <c r="N58" s="158">
        <v>0</v>
      </c>
      <c r="O58" s="158">
        <v>0</v>
      </c>
      <c r="P58" s="159">
        <v>138535</v>
      </c>
      <c r="Q58" s="159">
        <v>19509</v>
      </c>
      <c r="R58" s="159">
        <v>45220</v>
      </c>
      <c r="S58" s="159">
        <v>0</v>
      </c>
      <c r="T58" s="159">
        <v>0</v>
      </c>
      <c r="U58" s="159">
        <v>13660</v>
      </c>
      <c r="V58" s="158">
        <v>0</v>
      </c>
      <c r="W58" s="159">
        <v>7745</v>
      </c>
      <c r="X58" s="159">
        <v>2741</v>
      </c>
      <c r="Y58" s="159">
        <v>0</v>
      </c>
      <c r="Z58" s="159">
        <v>0</v>
      </c>
      <c r="AA58" s="159">
        <v>0</v>
      </c>
      <c r="AB58" s="159">
        <v>0</v>
      </c>
      <c r="AC58" s="159"/>
      <c r="AD58" s="159">
        <v>7467.5</v>
      </c>
      <c r="AE58" s="159">
        <v>0</v>
      </c>
      <c r="AF58" s="159">
        <v>0</v>
      </c>
      <c r="AG58" s="159">
        <v>6851.26</v>
      </c>
      <c r="AH58" s="159">
        <v>0</v>
      </c>
      <c r="AI58" s="160">
        <v>8972.5</v>
      </c>
      <c r="AJ58" s="162"/>
      <c r="AK58" s="161">
        <f t="shared" si="4"/>
        <v>2573409.5699121412</v>
      </c>
    </row>
    <row r="59" spans="1:37" ht="15.75" x14ac:dyDescent="0.3">
      <c r="A59" s="132">
        <v>3072185</v>
      </c>
      <c r="B59" s="129" t="s">
        <v>191</v>
      </c>
      <c r="C59" s="154">
        <v>0</v>
      </c>
      <c r="D59" s="154">
        <v>0</v>
      </c>
      <c r="E59" s="155">
        <f t="shared" si="3"/>
        <v>0</v>
      </c>
      <c r="F59" s="162">
        <v>3072162</v>
      </c>
      <c r="G59" s="157">
        <v>102815.09863013703</v>
      </c>
      <c r="H59" s="157">
        <v>0</v>
      </c>
      <c r="I59" s="157">
        <v>0</v>
      </c>
      <c r="J59" s="158">
        <v>0</v>
      </c>
      <c r="K59" s="158">
        <v>69535.649999999994</v>
      </c>
      <c r="L59" s="158">
        <v>0</v>
      </c>
      <c r="M59" s="158">
        <v>0</v>
      </c>
      <c r="N59" s="158">
        <v>0</v>
      </c>
      <c r="O59" s="158">
        <v>0</v>
      </c>
      <c r="P59" s="159">
        <v>0</v>
      </c>
      <c r="Q59" s="159">
        <v>0</v>
      </c>
      <c r="R59" s="159">
        <v>0</v>
      </c>
      <c r="S59" s="159">
        <v>0</v>
      </c>
      <c r="T59" s="159">
        <v>0</v>
      </c>
      <c r="U59" s="159">
        <v>0</v>
      </c>
      <c r="V59" s="158">
        <v>0</v>
      </c>
      <c r="W59" s="159">
        <v>0</v>
      </c>
      <c r="X59" s="159">
        <v>0</v>
      </c>
      <c r="Y59" s="159">
        <v>0</v>
      </c>
      <c r="Z59" s="159">
        <v>0</v>
      </c>
      <c r="AA59" s="159">
        <v>0</v>
      </c>
      <c r="AB59" s="159">
        <v>0</v>
      </c>
      <c r="AC59" s="159"/>
      <c r="AD59" s="159">
        <v>0</v>
      </c>
      <c r="AE59" s="159">
        <v>0</v>
      </c>
      <c r="AF59" s="159">
        <v>0</v>
      </c>
      <c r="AG59" s="159">
        <v>0</v>
      </c>
      <c r="AH59" s="159">
        <v>0</v>
      </c>
      <c r="AI59" s="160">
        <v>0</v>
      </c>
      <c r="AJ59" s="162"/>
      <c r="AK59" s="161">
        <f t="shared" si="4"/>
        <v>172350.74863013701</v>
      </c>
    </row>
    <row r="60" spans="1:37" ht="15.75" x14ac:dyDescent="0.3">
      <c r="A60" s="132">
        <v>3072186</v>
      </c>
      <c r="B60" s="129" t="s">
        <v>253</v>
      </c>
      <c r="C60" s="154">
        <v>2056978.7399424387</v>
      </c>
      <c r="D60" s="154">
        <v>0</v>
      </c>
      <c r="E60" s="155">
        <f t="shared" si="3"/>
        <v>2056978.7399424387</v>
      </c>
      <c r="F60" s="162">
        <v>3072186</v>
      </c>
      <c r="G60" s="157">
        <v>23727.753424657538</v>
      </c>
      <c r="H60" s="157">
        <v>0</v>
      </c>
      <c r="I60" s="157">
        <v>0</v>
      </c>
      <c r="J60" s="158">
        <v>0</v>
      </c>
      <c r="K60" s="158">
        <v>26383.35</v>
      </c>
      <c r="L60" s="158">
        <v>0</v>
      </c>
      <c r="M60" s="158">
        <v>0</v>
      </c>
      <c r="N60" s="158">
        <v>0</v>
      </c>
      <c r="O60" s="158">
        <v>0</v>
      </c>
      <c r="P60" s="159">
        <v>93804.999999999985</v>
      </c>
      <c r="Q60" s="159">
        <v>19550</v>
      </c>
      <c r="R60" s="159">
        <v>75009</v>
      </c>
      <c r="S60" s="159">
        <v>0</v>
      </c>
      <c r="T60" s="159">
        <v>0</v>
      </c>
      <c r="U60" s="159">
        <v>13860</v>
      </c>
      <c r="V60" s="158">
        <v>0</v>
      </c>
      <c r="W60" s="159">
        <v>5532</v>
      </c>
      <c r="X60" s="159">
        <v>1958</v>
      </c>
      <c r="Y60" s="159">
        <v>0</v>
      </c>
      <c r="Z60" s="159">
        <v>0</v>
      </c>
      <c r="AA60" s="159">
        <v>0</v>
      </c>
      <c r="AB60" s="159">
        <v>0</v>
      </c>
      <c r="AC60" s="159"/>
      <c r="AD60" s="159">
        <v>4930</v>
      </c>
      <c r="AE60" s="159">
        <v>0</v>
      </c>
      <c r="AF60" s="159">
        <v>0</v>
      </c>
      <c r="AG60" s="159">
        <v>4843.12</v>
      </c>
      <c r="AH60" s="159">
        <v>0</v>
      </c>
      <c r="AI60" s="160">
        <v>8708.7999999999993</v>
      </c>
      <c r="AJ60" s="162"/>
      <c r="AK60" s="161">
        <f t="shared" si="4"/>
        <v>2335285.763367096</v>
      </c>
    </row>
    <row r="61" spans="1:37" ht="15.75" x14ac:dyDescent="0.3">
      <c r="A61" s="132">
        <v>3072187</v>
      </c>
      <c r="B61" s="129" t="s">
        <v>214</v>
      </c>
      <c r="C61" s="154">
        <v>3436927.3738304921</v>
      </c>
      <c r="D61" s="154">
        <v>0</v>
      </c>
      <c r="E61" s="155">
        <f t="shared" si="3"/>
        <v>3436927.3738304921</v>
      </c>
      <c r="F61" s="162">
        <v>3072167</v>
      </c>
      <c r="G61" s="157">
        <v>212269.8582191781</v>
      </c>
      <c r="H61" s="157">
        <v>0</v>
      </c>
      <c r="I61" s="157">
        <v>0</v>
      </c>
      <c r="J61" s="158">
        <v>0</v>
      </c>
      <c r="K61" s="158">
        <v>201070.05</v>
      </c>
      <c r="L61" s="158">
        <v>0</v>
      </c>
      <c r="M61" s="158">
        <v>0</v>
      </c>
      <c r="N61" s="158">
        <v>0</v>
      </c>
      <c r="O61" s="158">
        <v>0</v>
      </c>
      <c r="P61" s="159">
        <v>241340</v>
      </c>
      <c r="Q61" s="159">
        <v>22051</v>
      </c>
      <c r="R61" s="159">
        <v>109465</v>
      </c>
      <c r="S61" s="159">
        <v>1200</v>
      </c>
      <c r="T61" s="159">
        <v>0</v>
      </c>
      <c r="U61" s="159">
        <v>23660</v>
      </c>
      <c r="V61" s="158">
        <v>0</v>
      </c>
      <c r="W61" s="159">
        <v>11539</v>
      </c>
      <c r="X61" s="159">
        <v>4084</v>
      </c>
      <c r="Y61" s="159">
        <v>0</v>
      </c>
      <c r="Z61" s="159">
        <v>0</v>
      </c>
      <c r="AA61" s="159">
        <v>0</v>
      </c>
      <c r="AB61" s="159">
        <v>0</v>
      </c>
      <c r="AC61" s="159"/>
      <c r="AD61" s="159">
        <v>12180</v>
      </c>
      <c r="AE61" s="159">
        <v>0</v>
      </c>
      <c r="AF61" s="159">
        <v>0</v>
      </c>
      <c r="AG61" s="159">
        <v>11576.25</v>
      </c>
      <c r="AH61" s="159">
        <v>0</v>
      </c>
      <c r="AI61" s="160">
        <v>12880.75</v>
      </c>
      <c r="AJ61" s="162"/>
      <c r="AK61" s="161">
        <f t="shared" si="4"/>
        <v>4300243.2820496699</v>
      </c>
    </row>
    <row r="62" spans="1:37" ht="15.75" x14ac:dyDescent="0.3">
      <c r="A62" s="132">
        <v>3073500</v>
      </c>
      <c r="B62" s="129" t="s">
        <v>227</v>
      </c>
      <c r="C62" s="154">
        <v>1713804.6479063777</v>
      </c>
      <c r="D62" s="154">
        <v>0</v>
      </c>
      <c r="E62" s="155">
        <f t="shared" si="3"/>
        <v>1713804.6479063777</v>
      </c>
      <c r="F62" s="162">
        <v>3073500</v>
      </c>
      <c r="G62" s="157">
        <v>48666.676575342448</v>
      </c>
      <c r="H62" s="157">
        <v>0</v>
      </c>
      <c r="I62" s="157">
        <v>0</v>
      </c>
      <c r="J62" s="158">
        <v>0</v>
      </c>
      <c r="K62" s="158">
        <v>95062.35</v>
      </c>
      <c r="L62" s="158">
        <v>0</v>
      </c>
      <c r="M62" s="158">
        <v>0</v>
      </c>
      <c r="N62" s="158">
        <v>0</v>
      </c>
      <c r="O62" s="158">
        <v>0</v>
      </c>
      <c r="P62" s="159">
        <v>41005</v>
      </c>
      <c r="Q62" s="159">
        <v>19331</v>
      </c>
      <c r="R62" s="159">
        <v>60874</v>
      </c>
      <c r="S62" s="159">
        <v>0</v>
      </c>
      <c r="T62" s="159">
        <v>0</v>
      </c>
      <c r="U62" s="159">
        <v>12760</v>
      </c>
      <c r="V62" s="158">
        <v>0</v>
      </c>
      <c r="W62" s="159">
        <v>5058</v>
      </c>
      <c r="X62" s="159">
        <v>1790</v>
      </c>
      <c r="Y62" s="159">
        <v>0</v>
      </c>
      <c r="Z62" s="159">
        <v>0</v>
      </c>
      <c r="AA62" s="159">
        <v>0</v>
      </c>
      <c r="AB62" s="159">
        <v>0</v>
      </c>
      <c r="AC62" s="159"/>
      <c r="AD62" s="159">
        <v>2102.5</v>
      </c>
      <c r="AE62" s="159">
        <v>0</v>
      </c>
      <c r="AF62" s="159">
        <v>0</v>
      </c>
      <c r="AG62" s="159">
        <v>2008.12</v>
      </c>
      <c r="AH62" s="159">
        <v>0</v>
      </c>
      <c r="AI62" s="160">
        <v>0</v>
      </c>
      <c r="AJ62" s="162"/>
      <c r="AK62" s="161">
        <f t="shared" si="4"/>
        <v>2002462.2944817201</v>
      </c>
    </row>
    <row r="63" spans="1:37" ht="15.75" x14ac:dyDescent="0.3">
      <c r="A63" s="132">
        <v>3073503</v>
      </c>
      <c r="B63" s="129" t="s">
        <v>234</v>
      </c>
      <c r="C63" s="154">
        <v>1952969.8561949809</v>
      </c>
      <c r="D63" s="154">
        <v>0</v>
      </c>
      <c r="E63" s="155">
        <f t="shared" si="3"/>
        <v>1952969.8561949809</v>
      </c>
      <c r="F63" s="162">
        <v>3073503</v>
      </c>
      <c r="G63" s="157">
        <v>86913.054520547958</v>
      </c>
      <c r="H63" s="157">
        <v>0</v>
      </c>
      <c r="I63" s="157">
        <v>0</v>
      </c>
      <c r="J63" s="158">
        <v>0</v>
      </c>
      <c r="K63" s="158">
        <v>103134.59999999999</v>
      </c>
      <c r="L63" s="158">
        <v>0</v>
      </c>
      <c r="M63" s="158">
        <v>0</v>
      </c>
      <c r="N63" s="158">
        <v>0</v>
      </c>
      <c r="O63" s="158">
        <v>0</v>
      </c>
      <c r="P63" s="159">
        <v>110944.99999999997</v>
      </c>
      <c r="Q63" s="159">
        <v>19560</v>
      </c>
      <c r="R63" s="159">
        <v>50944</v>
      </c>
      <c r="S63" s="159">
        <v>1200</v>
      </c>
      <c r="T63" s="159">
        <v>0</v>
      </c>
      <c r="U63" s="159">
        <v>13730</v>
      </c>
      <c r="V63" s="158">
        <v>0</v>
      </c>
      <c r="W63" s="159">
        <v>6322</v>
      </c>
      <c r="X63" s="159">
        <v>2237</v>
      </c>
      <c r="Y63" s="159">
        <v>0</v>
      </c>
      <c r="Z63" s="159">
        <v>5089.9800000000005</v>
      </c>
      <c r="AA63" s="159">
        <v>0</v>
      </c>
      <c r="AB63" s="159">
        <v>0</v>
      </c>
      <c r="AC63" s="159"/>
      <c r="AD63" s="159">
        <v>5727.5</v>
      </c>
      <c r="AE63" s="159">
        <v>0</v>
      </c>
      <c r="AF63" s="159">
        <v>0</v>
      </c>
      <c r="AG63" s="159">
        <v>4961.26</v>
      </c>
      <c r="AH63" s="159">
        <v>0</v>
      </c>
      <c r="AI63" s="160">
        <v>0</v>
      </c>
      <c r="AJ63" s="162"/>
      <c r="AK63" s="161">
        <f t="shared" si="4"/>
        <v>2363734.2507155286</v>
      </c>
    </row>
    <row r="64" spans="1:37" ht="15.75" x14ac:dyDescent="0.3">
      <c r="A64" s="132">
        <v>3073504</v>
      </c>
      <c r="B64" s="129" t="s">
        <v>242</v>
      </c>
      <c r="C64" s="154">
        <v>1738863.0348096369</v>
      </c>
      <c r="D64" s="154">
        <v>0</v>
      </c>
      <c r="E64" s="155">
        <f t="shared" si="3"/>
        <v>1738863.0348096369</v>
      </c>
      <c r="F64" s="162">
        <v>3073504</v>
      </c>
      <c r="G64" s="157">
        <v>114749.15342465755</v>
      </c>
      <c r="H64" s="157">
        <v>0</v>
      </c>
      <c r="I64" s="157">
        <v>0</v>
      </c>
      <c r="J64" s="158">
        <v>0</v>
      </c>
      <c r="K64" s="158">
        <v>119303.85</v>
      </c>
      <c r="L64" s="158">
        <v>0</v>
      </c>
      <c r="M64" s="158">
        <v>0</v>
      </c>
      <c r="N64" s="158">
        <v>0</v>
      </c>
      <c r="O64" s="158">
        <v>0</v>
      </c>
      <c r="P64" s="159">
        <v>41694.999999999993</v>
      </c>
      <c r="Q64" s="159">
        <v>19154</v>
      </c>
      <c r="R64" s="159">
        <v>55982</v>
      </c>
      <c r="S64" s="159">
        <v>0</v>
      </c>
      <c r="T64" s="159">
        <v>0</v>
      </c>
      <c r="U64" s="159">
        <v>12100</v>
      </c>
      <c r="V64" s="158">
        <v>0</v>
      </c>
      <c r="W64" s="159">
        <v>5532</v>
      </c>
      <c r="X64" s="159">
        <v>1958</v>
      </c>
      <c r="Y64" s="159">
        <v>0</v>
      </c>
      <c r="Z64" s="159">
        <v>0</v>
      </c>
      <c r="AA64" s="159">
        <v>0</v>
      </c>
      <c r="AB64" s="159">
        <v>0</v>
      </c>
      <c r="AC64" s="159"/>
      <c r="AD64" s="159">
        <v>2247.5</v>
      </c>
      <c r="AE64" s="159">
        <v>0</v>
      </c>
      <c r="AF64" s="159">
        <v>0</v>
      </c>
      <c r="AG64" s="159">
        <v>2126.2600000000002</v>
      </c>
      <c r="AH64" s="159">
        <v>0</v>
      </c>
      <c r="AI64" s="160">
        <v>0</v>
      </c>
      <c r="AJ64" s="162"/>
      <c r="AK64" s="161">
        <f t="shared" si="4"/>
        <v>2113710.7982342946</v>
      </c>
    </row>
    <row r="65" spans="1:37" ht="15.75" x14ac:dyDescent="0.3">
      <c r="A65" s="132">
        <v>3073505</v>
      </c>
      <c r="B65" s="129" t="s">
        <v>240</v>
      </c>
      <c r="C65" s="154">
        <v>1088039.7303668263</v>
      </c>
      <c r="D65" s="154">
        <v>0</v>
      </c>
      <c r="E65" s="155">
        <f t="shared" si="3"/>
        <v>1088039.7303668263</v>
      </c>
      <c r="F65" s="162">
        <v>3073505</v>
      </c>
      <c r="G65" s="157">
        <v>8962</v>
      </c>
      <c r="H65" s="157">
        <v>0</v>
      </c>
      <c r="I65" s="157">
        <v>0</v>
      </c>
      <c r="J65" s="158">
        <v>0</v>
      </c>
      <c r="K65" s="158">
        <v>114688.5</v>
      </c>
      <c r="L65" s="158">
        <v>0</v>
      </c>
      <c r="M65" s="158">
        <v>0</v>
      </c>
      <c r="N65" s="158">
        <v>0</v>
      </c>
      <c r="O65" s="158">
        <v>0</v>
      </c>
      <c r="P65" s="159">
        <v>61870</v>
      </c>
      <c r="Q65" s="159">
        <v>17795</v>
      </c>
      <c r="R65" s="159">
        <v>23954</v>
      </c>
      <c r="S65" s="159">
        <v>1200</v>
      </c>
      <c r="T65" s="159">
        <v>0</v>
      </c>
      <c r="U65" s="159">
        <v>7000</v>
      </c>
      <c r="V65" s="158">
        <v>0</v>
      </c>
      <c r="W65" s="159">
        <v>5690</v>
      </c>
      <c r="X65" s="159">
        <v>2014</v>
      </c>
      <c r="Y65" s="159">
        <v>0</v>
      </c>
      <c r="Z65" s="159">
        <v>0</v>
      </c>
      <c r="AA65" s="159">
        <v>0</v>
      </c>
      <c r="AB65" s="159">
        <v>0</v>
      </c>
      <c r="AC65" s="159"/>
      <c r="AD65" s="159">
        <v>3335</v>
      </c>
      <c r="AE65" s="159">
        <v>0</v>
      </c>
      <c r="AF65" s="159">
        <v>0</v>
      </c>
      <c r="AG65" s="159">
        <v>2953.12</v>
      </c>
      <c r="AH65" s="159">
        <v>0</v>
      </c>
      <c r="AI65" s="160">
        <v>0</v>
      </c>
      <c r="AJ65" s="162"/>
      <c r="AK65" s="161">
        <f t="shared" si="4"/>
        <v>1337501.3503668262</v>
      </c>
    </row>
    <row r="66" spans="1:37" ht="15.75" x14ac:dyDescent="0.3">
      <c r="A66" s="132">
        <v>3073506</v>
      </c>
      <c r="B66" s="129" t="s">
        <v>241</v>
      </c>
      <c r="C66" s="154">
        <v>1938896.0572196948</v>
      </c>
      <c r="D66" s="154">
        <v>0</v>
      </c>
      <c r="E66" s="155">
        <f t="shared" ref="E66:E97" si="5">SUM(C66:D66)</f>
        <v>1938896.0572196948</v>
      </c>
      <c r="F66" s="162">
        <v>3073506</v>
      </c>
      <c r="G66" s="157">
        <v>76724.056438356201</v>
      </c>
      <c r="H66" s="157">
        <v>0</v>
      </c>
      <c r="I66" s="157">
        <v>0</v>
      </c>
      <c r="J66" s="158">
        <v>1873.4</v>
      </c>
      <c r="K66" s="158">
        <v>51157.350000000006</v>
      </c>
      <c r="L66" s="158">
        <v>0</v>
      </c>
      <c r="M66" s="158">
        <v>0</v>
      </c>
      <c r="N66" s="158">
        <v>0</v>
      </c>
      <c r="O66" s="158">
        <v>0</v>
      </c>
      <c r="P66" s="159">
        <v>92805</v>
      </c>
      <c r="Q66" s="159">
        <v>20172</v>
      </c>
      <c r="R66" s="159">
        <v>30808</v>
      </c>
      <c r="S66" s="159">
        <v>0</v>
      </c>
      <c r="T66" s="159">
        <v>0</v>
      </c>
      <c r="U66" s="159">
        <v>14130</v>
      </c>
      <c r="V66" s="158">
        <v>0</v>
      </c>
      <c r="W66" s="159">
        <v>2529</v>
      </c>
      <c r="X66" s="159">
        <v>895</v>
      </c>
      <c r="Y66" s="159">
        <v>0</v>
      </c>
      <c r="Z66" s="159">
        <v>0</v>
      </c>
      <c r="AA66" s="159">
        <v>0</v>
      </c>
      <c r="AB66" s="159">
        <v>0</v>
      </c>
      <c r="AC66" s="159"/>
      <c r="AD66" s="159">
        <v>5002.5</v>
      </c>
      <c r="AE66" s="159">
        <v>0</v>
      </c>
      <c r="AF66" s="159">
        <v>0</v>
      </c>
      <c r="AG66" s="159">
        <v>4843.12</v>
      </c>
      <c r="AH66" s="159">
        <v>0</v>
      </c>
      <c r="AI66" s="160">
        <v>0</v>
      </c>
      <c r="AJ66" s="162"/>
      <c r="AK66" s="161">
        <f t="shared" si="4"/>
        <v>2239835.4836580511</v>
      </c>
    </row>
    <row r="67" spans="1:37" ht="15.75" x14ac:dyDescent="0.3">
      <c r="A67" s="132">
        <v>3073507</v>
      </c>
      <c r="B67" s="129" t="s">
        <v>244</v>
      </c>
      <c r="C67" s="154">
        <v>2637992.6683389121</v>
      </c>
      <c r="D67" s="154">
        <v>0</v>
      </c>
      <c r="E67" s="155">
        <f t="shared" si="5"/>
        <v>2637992.6683389121</v>
      </c>
      <c r="F67" s="162">
        <v>3073507</v>
      </c>
      <c r="G67" s="157">
        <v>150555.63273972605</v>
      </c>
      <c r="H67" s="157">
        <v>0</v>
      </c>
      <c r="I67" s="157">
        <v>0</v>
      </c>
      <c r="J67" s="158">
        <v>7493.6</v>
      </c>
      <c r="K67" s="158">
        <v>132389.4</v>
      </c>
      <c r="L67" s="158">
        <v>0</v>
      </c>
      <c r="M67" s="158">
        <v>0</v>
      </c>
      <c r="N67" s="158">
        <v>0</v>
      </c>
      <c r="O67" s="158">
        <v>0</v>
      </c>
      <c r="P67" s="159">
        <v>59292.080000000016</v>
      </c>
      <c r="Q67" s="159">
        <v>21080</v>
      </c>
      <c r="R67" s="159">
        <v>95274</v>
      </c>
      <c r="S67" s="159">
        <v>0</v>
      </c>
      <c r="T67" s="159">
        <v>0</v>
      </c>
      <c r="U67" s="159">
        <v>19860</v>
      </c>
      <c r="V67" s="158">
        <v>0</v>
      </c>
      <c r="W67" s="159">
        <v>7587</v>
      </c>
      <c r="X67" s="159">
        <v>2685</v>
      </c>
      <c r="Y67" s="159">
        <v>0</v>
      </c>
      <c r="Z67" s="159">
        <v>0</v>
      </c>
      <c r="AA67" s="159">
        <v>0</v>
      </c>
      <c r="AB67" s="159">
        <v>0</v>
      </c>
      <c r="AC67" s="159"/>
      <c r="AD67" s="159">
        <v>3045</v>
      </c>
      <c r="AE67" s="159">
        <v>0</v>
      </c>
      <c r="AF67" s="159">
        <v>0</v>
      </c>
      <c r="AG67" s="159">
        <v>2716.88</v>
      </c>
      <c r="AH67" s="159">
        <v>0</v>
      </c>
      <c r="AI67" s="160">
        <v>0</v>
      </c>
      <c r="AJ67" s="162"/>
      <c r="AK67" s="161">
        <f t="shared" si="4"/>
        <v>3139971.261078638</v>
      </c>
    </row>
    <row r="68" spans="1:37" ht="15.75" x14ac:dyDescent="0.3">
      <c r="A68" s="132">
        <v>3073508</v>
      </c>
      <c r="B68" s="129" t="s">
        <v>247</v>
      </c>
      <c r="C68" s="154">
        <v>2477218.4799104379</v>
      </c>
      <c r="D68" s="154">
        <v>0</v>
      </c>
      <c r="E68" s="155">
        <f t="shared" si="5"/>
        <v>2477218.4799104379</v>
      </c>
      <c r="F68" s="162">
        <v>3073508</v>
      </c>
      <c r="G68" s="157">
        <v>95548.531506849293</v>
      </c>
      <c r="H68" s="157">
        <v>0</v>
      </c>
      <c r="I68" s="157">
        <v>0</v>
      </c>
      <c r="J68" s="158">
        <v>2891.7</v>
      </c>
      <c r="K68" s="158">
        <v>86687.549999999988</v>
      </c>
      <c r="L68" s="158">
        <v>0</v>
      </c>
      <c r="M68" s="158">
        <v>0</v>
      </c>
      <c r="N68" s="158">
        <v>0</v>
      </c>
      <c r="O68" s="158">
        <v>0</v>
      </c>
      <c r="P68" s="159">
        <v>93805.000000000015</v>
      </c>
      <c r="Q68" s="159">
        <v>20751</v>
      </c>
      <c r="R68" s="159">
        <v>78657</v>
      </c>
      <c r="S68" s="159">
        <v>0</v>
      </c>
      <c r="T68" s="159">
        <v>0</v>
      </c>
      <c r="U68" s="159">
        <v>17900</v>
      </c>
      <c r="V68" s="158">
        <v>0</v>
      </c>
      <c r="W68" s="159">
        <v>5848</v>
      </c>
      <c r="X68" s="159">
        <v>2069</v>
      </c>
      <c r="Y68" s="159">
        <v>0</v>
      </c>
      <c r="Z68" s="159">
        <v>5429.85</v>
      </c>
      <c r="AA68" s="159">
        <v>0</v>
      </c>
      <c r="AB68" s="159">
        <v>2375</v>
      </c>
      <c r="AC68" s="159"/>
      <c r="AD68" s="159">
        <v>5002.5</v>
      </c>
      <c r="AE68" s="159">
        <v>1657</v>
      </c>
      <c r="AF68" s="159">
        <v>0</v>
      </c>
      <c r="AG68" s="159">
        <v>4725</v>
      </c>
      <c r="AH68" s="159">
        <v>0</v>
      </c>
      <c r="AI68" s="160">
        <v>0</v>
      </c>
      <c r="AJ68" s="162"/>
      <c r="AK68" s="161">
        <f t="shared" si="4"/>
        <v>2900565.611417287</v>
      </c>
    </row>
    <row r="69" spans="1:37" ht="15.75" x14ac:dyDescent="0.3">
      <c r="A69" s="132">
        <v>3073509</v>
      </c>
      <c r="B69" s="129" t="s">
        <v>248</v>
      </c>
      <c r="C69" s="154">
        <v>2035674.9105063681</v>
      </c>
      <c r="D69" s="154">
        <v>0</v>
      </c>
      <c r="E69" s="155">
        <f t="shared" si="5"/>
        <v>2035674.9105063681</v>
      </c>
      <c r="F69" s="162">
        <v>3073509</v>
      </c>
      <c r="G69" s="157">
        <v>216518.64657534251</v>
      </c>
      <c r="H69" s="157">
        <v>0</v>
      </c>
      <c r="I69" s="157">
        <v>0</v>
      </c>
      <c r="J69" s="158">
        <v>0</v>
      </c>
      <c r="K69" s="158">
        <v>133937.85</v>
      </c>
      <c r="L69" s="158">
        <v>0</v>
      </c>
      <c r="M69" s="158">
        <v>0</v>
      </c>
      <c r="N69" s="158">
        <v>0</v>
      </c>
      <c r="O69" s="158">
        <v>0</v>
      </c>
      <c r="P69" s="159">
        <v>133465</v>
      </c>
      <c r="Q69" s="159">
        <v>19558</v>
      </c>
      <c r="R69" s="159">
        <v>55853</v>
      </c>
      <c r="S69" s="159">
        <v>0</v>
      </c>
      <c r="T69" s="159">
        <v>0</v>
      </c>
      <c r="U69" s="159">
        <v>13700</v>
      </c>
      <c r="V69" s="158">
        <v>0</v>
      </c>
      <c r="W69" s="159">
        <v>5216</v>
      </c>
      <c r="X69" s="159">
        <v>1846</v>
      </c>
      <c r="Y69" s="159">
        <v>0</v>
      </c>
      <c r="Z69" s="159">
        <v>2399.09</v>
      </c>
      <c r="AA69" s="159">
        <v>0</v>
      </c>
      <c r="AB69" s="159">
        <v>0</v>
      </c>
      <c r="AC69" s="159"/>
      <c r="AD69" s="159">
        <v>6960</v>
      </c>
      <c r="AE69" s="159">
        <v>0</v>
      </c>
      <c r="AF69" s="159">
        <v>0</v>
      </c>
      <c r="AG69" s="159">
        <v>6260.62</v>
      </c>
      <c r="AH69" s="159">
        <v>0</v>
      </c>
      <c r="AI69" s="160">
        <v>0</v>
      </c>
      <c r="AJ69" s="162"/>
      <c r="AK69" s="161">
        <f t="shared" si="4"/>
        <v>2631389.1170817106</v>
      </c>
    </row>
    <row r="70" spans="1:37" ht="15.75" x14ac:dyDescent="0.3">
      <c r="A70" s="132">
        <v>3073510</v>
      </c>
      <c r="B70" s="129" t="s">
        <v>207</v>
      </c>
      <c r="C70" s="154">
        <v>1945671.1443904804</v>
      </c>
      <c r="D70" s="154">
        <v>0</v>
      </c>
      <c r="E70" s="155">
        <f t="shared" si="5"/>
        <v>1945671.1443904804</v>
      </c>
      <c r="F70" s="162">
        <v>3074001</v>
      </c>
      <c r="G70" s="157">
        <v>83543.035616438341</v>
      </c>
      <c r="H70" s="157">
        <v>0</v>
      </c>
      <c r="I70" s="157">
        <v>0</v>
      </c>
      <c r="J70" s="158">
        <v>1873.4</v>
      </c>
      <c r="K70" s="158">
        <v>125678.3</v>
      </c>
      <c r="L70" s="158">
        <v>0</v>
      </c>
      <c r="M70" s="158">
        <v>0</v>
      </c>
      <c r="N70" s="158">
        <v>0</v>
      </c>
      <c r="O70" s="158">
        <v>0</v>
      </c>
      <c r="P70" s="159">
        <v>69214.999999999985</v>
      </c>
      <c r="Q70" s="159">
        <v>19590</v>
      </c>
      <c r="R70" s="159">
        <v>56891</v>
      </c>
      <c r="S70" s="159">
        <v>1200</v>
      </c>
      <c r="T70" s="159">
        <v>0</v>
      </c>
      <c r="U70" s="159">
        <v>13900</v>
      </c>
      <c r="V70" s="158">
        <v>0</v>
      </c>
      <c r="W70" s="159">
        <v>4900</v>
      </c>
      <c r="X70" s="159">
        <v>1735</v>
      </c>
      <c r="Y70" s="159">
        <v>0</v>
      </c>
      <c r="Z70" s="159">
        <v>0</v>
      </c>
      <c r="AA70" s="159">
        <v>0</v>
      </c>
      <c r="AB70" s="159">
        <v>2936.26</v>
      </c>
      <c r="AC70" s="159"/>
      <c r="AD70" s="159">
        <v>3552.5</v>
      </c>
      <c r="AE70" s="159">
        <v>0</v>
      </c>
      <c r="AF70" s="159">
        <v>0</v>
      </c>
      <c r="AG70" s="159">
        <v>3307.5</v>
      </c>
      <c r="AH70" s="159">
        <v>0</v>
      </c>
      <c r="AI70" s="160">
        <v>0</v>
      </c>
      <c r="AJ70" s="162"/>
      <c r="AK70" s="161">
        <f t="shared" si="4"/>
        <v>2333993.1400069185</v>
      </c>
    </row>
    <row r="71" spans="1:37" ht="15.75" x14ac:dyDescent="0.3">
      <c r="A71" s="132">
        <v>3073511</v>
      </c>
      <c r="B71" s="129" t="s">
        <v>236</v>
      </c>
      <c r="C71" s="154">
        <v>1243059.2867082204</v>
      </c>
      <c r="D71" s="154">
        <v>0</v>
      </c>
      <c r="E71" s="155">
        <f t="shared" si="5"/>
        <v>1243059.2867082204</v>
      </c>
      <c r="F71" s="162">
        <v>3073511</v>
      </c>
      <c r="G71" s="157">
        <v>65016.448630136998</v>
      </c>
      <c r="H71" s="157">
        <v>0</v>
      </c>
      <c r="I71" s="157">
        <v>0</v>
      </c>
      <c r="J71" s="158">
        <v>0</v>
      </c>
      <c r="K71" s="158">
        <v>121680.15</v>
      </c>
      <c r="L71" s="158">
        <v>0</v>
      </c>
      <c r="M71" s="158">
        <v>0</v>
      </c>
      <c r="N71" s="158">
        <v>0</v>
      </c>
      <c r="O71" s="158">
        <v>0</v>
      </c>
      <c r="P71" s="159">
        <v>116325.00000000001</v>
      </c>
      <c r="Q71" s="159">
        <v>17761</v>
      </c>
      <c r="R71" s="159">
        <v>23879</v>
      </c>
      <c r="S71" s="159">
        <v>0</v>
      </c>
      <c r="T71" s="159">
        <v>0</v>
      </c>
      <c r="U71" s="159">
        <v>6900</v>
      </c>
      <c r="V71" s="158">
        <v>0</v>
      </c>
      <c r="W71" s="159">
        <v>6322</v>
      </c>
      <c r="X71" s="159">
        <v>2237</v>
      </c>
      <c r="Y71" s="159">
        <v>0</v>
      </c>
      <c r="Z71" s="159">
        <v>0</v>
      </c>
      <c r="AA71" s="159">
        <v>1500</v>
      </c>
      <c r="AB71" s="159">
        <v>0</v>
      </c>
      <c r="AC71" s="159"/>
      <c r="AD71" s="159">
        <v>6162.5</v>
      </c>
      <c r="AE71" s="159">
        <v>0</v>
      </c>
      <c r="AF71" s="159">
        <v>1000</v>
      </c>
      <c r="AG71" s="159">
        <v>5670</v>
      </c>
      <c r="AH71" s="159">
        <v>0</v>
      </c>
      <c r="AI71" s="160">
        <v>6584.12</v>
      </c>
      <c r="AJ71" s="162"/>
      <c r="AK71" s="161">
        <f t="shared" si="4"/>
        <v>1624096.5053383573</v>
      </c>
    </row>
    <row r="72" spans="1:37" ht="15.75" x14ac:dyDescent="0.3">
      <c r="A72" s="132">
        <v>3073512</v>
      </c>
      <c r="B72" s="129" t="s">
        <v>228</v>
      </c>
      <c r="C72" s="154">
        <v>1936133.4273277961</v>
      </c>
      <c r="D72" s="154">
        <v>0</v>
      </c>
      <c r="E72" s="155">
        <f t="shared" si="5"/>
        <v>1936133.4273277961</v>
      </c>
      <c r="F72" s="162">
        <v>3073512</v>
      </c>
      <c r="G72" s="157">
        <v>33761.30958904107</v>
      </c>
      <c r="H72" s="157">
        <v>0</v>
      </c>
      <c r="I72" s="157">
        <v>0</v>
      </c>
      <c r="J72" s="158">
        <v>0</v>
      </c>
      <c r="K72" s="158">
        <v>138981.9</v>
      </c>
      <c r="L72" s="158">
        <v>0</v>
      </c>
      <c r="M72" s="158">
        <v>0</v>
      </c>
      <c r="N72" s="158">
        <v>0</v>
      </c>
      <c r="O72" s="158">
        <v>0</v>
      </c>
      <c r="P72" s="159">
        <v>118360.00000000001</v>
      </c>
      <c r="Q72" s="159">
        <v>19446</v>
      </c>
      <c r="R72" s="159">
        <v>50963</v>
      </c>
      <c r="S72" s="159">
        <v>0</v>
      </c>
      <c r="T72" s="159">
        <v>0</v>
      </c>
      <c r="U72" s="159">
        <v>12930</v>
      </c>
      <c r="V72" s="158">
        <v>0</v>
      </c>
      <c r="W72" s="159">
        <v>7587</v>
      </c>
      <c r="X72" s="159">
        <v>2685</v>
      </c>
      <c r="Y72" s="159">
        <v>0</v>
      </c>
      <c r="Z72" s="159">
        <v>0</v>
      </c>
      <c r="AA72" s="159">
        <v>0</v>
      </c>
      <c r="AB72" s="159">
        <v>0</v>
      </c>
      <c r="AC72" s="159"/>
      <c r="AD72" s="159">
        <v>6380</v>
      </c>
      <c r="AE72" s="159">
        <v>0</v>
      </c>
      <c r="AF72" s="159">
        <v>0</v>
      </c>
      <c r="AG72" s="159">
        <v>6260.62</v>
      </c>
      <c r="AH72" s="159">
        <v>0</v>
      </c>
      <c r="AI72" s="160">
        <v>0</v>
      </c>
      <c r="AJ72" s="162"/>
      <c r="AK72" s="161">
        <f t="shared" si="4"/>
        <v>2333488.2569168373</v>
      </c>
    </row>
    <row r="73" spans="1:37" ht="15.75" x14ac:dyDescent="0.3">
      <c r="A73" s="132">
        <v>3073513</v>
      </c>
      <c r="B73" s="129" t="s">
        <v>193</v>
      </c>
      <c r="C73" s="154">
        <v>3798295.8113300595</v>
      </c>
      <c r="D73" s="154">
        <v>0</v>
      </c>
      <c r="E73" s="155">
        <f t="shared" si="5"/>
        <v>3798295.8113300595</v>
      </c>
      <c r="F73" s="162">
        <v>3074603</v>
      </c>
      <c r="G73" s="157">
        <v>205206.27123287661</v>
      </c>
      <c r="H73" s="157">
        <v>0</v>
      </c>
      <c r="I73" s="157">
        <v>0</v>
      </c>
      <c r="J73" s="158">
        <v>10303.700000000001</v>
      </c>
      <c r="K73" s="158">
        <v>175546.2</v>
      </c>
      <c r="L73" s="158">
        <v>0</v>
      </c>
      <c r="M73" s="158">
        <v>0</v>
      </c>
      <c r="N73" s="158">
        <v>0</v>
      </c>
      <c r="O73" s="158">
        <v>0</v>
      </c>
      <c r="P73" s="159">
        <v>210750.00000000003</v>
      </c>
      <c r="Q73" s="159">
        <v>23184</v>
      </c>
      <c r="R73" s="159">
        <v>135121</v>
      </c>
      <c r="S73" s="159">
        <v>0</v>
      </c>
      <c r="T73" s="159">
        <v>0</v>
      </c>
      <c r="U73" s="159">
        <v>28000</v>
      </c>
      <c r="V73" s="158">
        <v>0</v>
      </c>
      <c r="W73" s="159">
        <v>9484</v>
      </c>
      <c r="X73" s="159">
        <v>3357</v>
      </c>
      <c r="Y73" s="159">
        <v>0</v>
      </c>
      <c r="Z73" s="159">
        <v>0</v>
      </c>
      <c r="AA73" s="159">
        <v>0</v>
      </c>
      <c r="AB73" s="159">
        <v>0</v>
      </c>
      <c r="AC73" s="159"/>
      <c r="AD73" s="159">
        <v>10947.5</v>
      </c>
      <c r="AE73" s="159">
        <v>0</v>
      </c>
      <c r="AF73" s="159">
        <v>0</v>
      </c>
      <c r="AG73" s="159">
        <v>10276.879999999999</v>
      </c>
      <c r="AH73" s="159">
        <v>0</v>
      </c>
      <c r="AI73" s="160">
        <v>0</v>
      </c>
      <c r="AJ73" s="162"/>
      <c r="AK73" s="161">
        <f t="shared" si="4"/>
        <v>4620472.3625629358</v>
      </c>
    </row>
    <row r="74" spans="1:37" ht="15.75" x14ac:dyDescent="0.3">
      <c r="A74" s="132">
        <v>3074000</v>
      </c>
      <c r="B74" s="129" t="s">
        <v>258</v>
      </c>
      <c r="C74" s="154">
        <v>0</v>
      </c>
      <c r="D74" s="154">
        <v>0</v>
      </c>
      <c r="E74" s="155">
        <f t="shared" si="5"/>
        <v>0</v>
      </c>
      <c r="F74" s="162">
        <v>3074000</v>
      </c>
      <c r="G74" s="157">
        <v>156477.10136986294</v>
      </c>
      <c r="H74" s="157">
        <v>0</v>
      </c>
      <c r="I74" s="157">
        <v>167642.5684931507</v>
      </c>
      <c r="J74" s="158">
        <v>0</v>
      </c>
      <c r="K74" s="158">
        <v>0</v>
      </c>
      <c r="L74" s="158">
        <v>0</v>
      </c>
      <c r="M74" s="158">
        <v>0</v>
      </c>
      <c r="N74" s="158">
        <v>0</v>
      </c>
      <c r="O74" s="158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58">
        <v>0</v>
      </c>
      <c r="W74" s="159">
        <v>0</v>
      </c>
      <c r="X74" s="159">
        <v>0</v>
      </c>
      <c r="Y74" s="159">
        <v>0</v>
      </c>
      <c r="Z74" s="159">
        <v>0</v>
      </c>
      <c r="AA74" s="159">
        <v>0</v>
      </c>
      <c r="AB74" s="159">
        <v>0</v>
      </c>
      <c r="AC74" s="159"/>
      <c r="AD74" s="159">
        <v>0</v>
      </c>
      <c r="AE74" s="159">
        <v>0</v>
      </c>
      <c r="AF74" s="159">
        <v>0</v>
      </c>
      <c r="AG74" s="159">
        <v>0</v>
      </c>
      <c r="AH74" s="159">
        <v>0</v>
      </c>
      <c r="AI74" s="160">
        <v>0</v>
      </c>
      <c r="AJ74" s="162"/>
      <c r="AK74" s="161">
        <f t="shared" si="4"/>
        <v>324119.66986301367</v>
      </c>
    </row>
    <row r="75" spans="1:37" ht="15.75" x14ac:dyDescent="0.3">
      <c r="A75" s="132">
        <v>3074001</v>
      </c>
      <c r="B75" s="129" t="s">
        <v>205</v>
      </c>
      <c r="C75" s="154">
        <v>0</v>
      </c>
      <c r="D75" s="154">
        <v>0</v>
      </c>
      <c r="E75" s="155">
        <f t="shared" si="5"/>
        <v>0</v>
      </c>
      <c r="F75" s="162">
        <v>3075403</v>
      </c>
      <c r="G75" s="157">
        <v>84107.665753424692</v>
      </c>
      <c r="H75" s="157">
        <v>0</v>
      </c>
      <c r="I75" s="157">
        <v>0</v>
      </c>
      <c r="J75" s="158">
        <v>0</v>
      </c>
      <c r="K75" s="158">
        <v>0</v>
      </c>
      <c r="L75" s="158">
        <v>0</v>
      </c>
      <c r="M75" s="158">
        <v>0</v>
      </c>
      <c r="N75" s="158">
        <v>0</v>
      </c>
      <c r="O75" s="158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58">
        <v>0</v>
      </c>
      <c r="W75" s="159">
        <v>0</v>
      </c>
      <c r="X75" s="159">
        <v>0</v>
      </c>
      <c r="Y75" s="159">
        <v>0</v>
      </c>
      <c r="Z75" s="159">
        <v>0</v>
      </c>
      <c r="AA75" s="159">
        <v>0</v>
      </c>
      <c r="AB75" s="159">
        <v>0</v>
      </c>
      <c r="AC75" s="159"/>
      <c r="AD75" s="159">
        <v>0</v>
      </c>
      <c r="AE75" s="159">
        <v>0</v>
      </c>
      <c r="AF75" s="159">
        <v>0</v>
      </c>
      <c r="AG75" s="159">
        <v>0</v>
      </c>
      <c r="AH75" s="159">
        <v>0</v>
      </c>
      <c r="AI75" s="160">
        <v>0</v>
      </c>
      <c r="AJ75" s="162"/>
      <c r="AK75" s="161">
        <f t="shared" si="4"/>
        <v>84107.665753424692</v>
      </c>
    </row>
    <row r="76" spans="1:37" ht="15.75" x14ac:dyDescent="0.3">
      <c r="A76" s="132">
        <v>3074002</v>
      </c>
      <c r="B76" s="129" t="s">
        <v>185</v>
      </c>
      <c r="C76" s="154">
        <v>0</v>
      </c>
      <c r="D76" s="154">
        <v>0</v>
      </c>
      <c r="E76" s="155">
        <f t="shared" si="5"/>
        <v>0</v>
      </c>
      <c r="F76" s="162"/>
      <c r="G76" s="157">
        <v>69755.463013698653</v>
      </c>
      <c r="H76" s="157">
        <v>0</v>
      </c>
      <c r="I76" s="157">
        <v>0</v>
      </c>
      <c r="J76" s="158">
        <v>0</v>
      </c>
      <c r="K76" s="158">
        <v>0</v>
      </c>
      <c r="L76" s="158">
        <v>0</v>
      </c>
      <c r="M76" s="158">
        <v>0</v>
      </c>
      <c r="N76" s="158">
        <v>0</v>
      </c>
      <c r="O76" s="158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58">
        <v>0</v>
      </c>
      <c r="W76" s="159">
        <v>0</v>
      </c>
      <c r="X76" s="159">
        <v>0</v>
      </c>
      <c r="Y76" s="159">
        <v>0</v>
      </c>
      <c r="Z76" s="159">
        <v>0</v>
      </c>
      <c r="AA76" s="159">
        <v>0</v>
      </c>
      <c r="AB76" s="159">
        <v>0</v>
      </c>
      <c r="AC76" s="159"/>
      <c r="AD76" s="159">
        <v>0</v>
      </c>
      <c r="AE76" s="159">
        <v>0</v>
      </c>
      <c r="AF76" s="159">
        <v>0</v>
      </c>
      <c r="AG76" s="159">
        <v>0</v>
      </c>
      <c r="AH76" s="159">
        <v>0</v>
      </c>
      <c r="AI76" s="160">
        <v>0</v>
      </c>
      <c r="AJ76" s="162"/>
      <c r="AK76" s="161">
        <f t="shared" si="4"/>
        <v>69755.463013698653</v>
      </c>
    </row>
    <row r="77" spans="1:37" ht="15.75" x14ac:dyDescent="0.3">
      <c r="A77" s="132">
        <v>3074007</v>
      </c>
      <c r="B77" s="129" t="s">
        <v>38</v>
      </c>
      <c r="C77" s="154">
        <v>0</v>
      </c>
      <c r="D77" s="154">
        <v>0</v>
      </c>
      <c r="E77" s="155">
        <f t="shared" si="5"/>
        <v>0</v>
      </c>
      <c r="F77" s="162">
        <v>3072161</v>
      </c>
      <c r="G77" s="157">
        <v>84202.079041095873</v>
      </c>
      <c r="H77" s="157">
        <v>0</v>
      </c>
      <c r="I77" s="157">
        <v>0</v>
      </c>
      <c r="J77" s="158">
        <v>0</v>
      </c>
      <c r="K77" s="158">
        <v>0</v>
      </c>
      <c r="L77" s="158">
        <v>389266.5</v>
      </c>
      <c r="M77" s="158">
        <v>0</v>
      </c>
      <c r="N77" s="158">
        <v>0</v>
      </c>
      <c r="O77" s="158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58">
        <v>0</v>
      </c>
      <c r="W77" s="159">
        <v>0</v>
      </c>
      <c r="X77" s="159">
        <v>0</v>
      </c>
      <c r="Y77" s="159">
        <v>0</v>
      </c>
      <c r="Z77" s="159">
        <v>0</v>
      </c>
      <c r="AA77" s="159">
        <v>0</v>
      </c>
      <c r="AB77" s="159">
        <v>0</v>
      </c>
      <c r="AC77" s="159"/>
      <c r="AD77" s="159">
        <v>0</v>
      </c>
      <c r="AE77" s="159">
        <v>0</v>
      </c>
      <c r="AF77" s="159">
        <v>0</v>
      </c>
      <c r="AG77" s="159">
        <v>0</v>
      </c>
      <c r="AH77" s="159">
        <v>0</v>
      </c>
      <c r="AI77" s="160">
        <v>0</v>
      </c>
      <c r="AJ77" s="162"/>
      <c r="AK77" s="161">
        <f t="shared" si="4"/>
        <v>473468.57904109586</v>
      </c>
    </row>
    <row r="78" spans="1:37" ht="15.75" x14ac:dyDescent="0.3">
      <c r="A78" s="132">
        <v>3074008</v>
      </c>
      <c r="B78" s="129" t="s">
        <v>184</v>
      </c>
      <c r="C78" s="154">
        <v>0</v>
      </c>
      <c r="D78" s="154">
        <v>0</v>
      </c>
      <c r="E78" s="155">
        <f t="shared" si="5"/>
        <v>0</v>
      </c>
      <c r="F78" s="162"/>
      <c r="G78" s="157">
        <v>23216.736986301377</v>
      </c>
      <c r="H78" s="157">
        <v>0</v>
      </c>
      <c r="I78" s="157">
        <v>0</v>
      </c>
      <c r="J78" s="158">
        <v>0</v>
      </c>
      <c r="K78" s="158">
        <v>0</v>
      </c>
      <c r="L78" s="158">
        <v>0</v>
      </c>
      <c r="M78" s="158">
        <v>0</v>
      </c>
      <c r="N78" s="158">
        <v>0</v>
      </c>
      <c r="O78" s="158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58">
        <v>0</v>
      </c>
      <c r="W78" s="159">
        <v>0</v>
      </c>
      <c r="X78" s="159">
        <v>0</v>
      </c>
      <c r="Y78" s="159">
        <v>0</v>
      </c>
      <c r="Z78" s="159">
        <v>0</v>
      </c>
      <c r="AA78" s="159">
        <v>0</v>
      </c>
      <c r="AB78" s="159">
        <v>0</v>
      </c>
      <c r="AC78" s="159"/>
      <c r="AD78" s="159">
        <v>0</v>
      </c>
      <c r="AE78" s="159">
        <v>0</v>
      </c>
      <c r="AF78" s="159">
        <v>0</v>
      </c>
      <c r="AG78" s="159">
        <v>0</v>
      </c>
      <c r="AH78" s="159">
        <v>0</v>
      </c>
      <c r="AI78" s="160">
        <v>0</v>
      </c>
      <c r="AJ78" s="162"/>
      <c r="AK78" s="161">
        <f t="shared" si="4"/>
        <v>23216.736986301377</v>
      </c>
    </row>
    <row r="79" spans="1:37" ht="15.75" x14ac:dyDescent="0.3">
      <c r="A79" s="132">
        <v>3074020</v>
      </c>
      <c r="B79" s="129" t="s">
        <v>255</v>
      </c>
      <c r="C79" s="154">
        <v>8699463.6472080406</v>
      </c>
      <c r="D79" s="154">
        <v>0</v>
      </c>
      <c r="E79" s="155">
        <f t="shared" si="5"/>
        <v>8699463.6472080406</v>
      </c>
      <c r="F79" s="162">
        <v>3074020</v>
      </c>
      <c r="G79" s="157">
        <v>125032.51205479456</v>
      </c>
      <c r="H79" s="157">
        <v>0</v>
      </c>
      <c r="I79" s="157">
        <v>0</v>
      </c>
      <c r="J79" s="158">
        <v>0</v>
      </c>
      <c r="K79" s="158">
        <v>0</v>
      </c>
      <c r="L79" s="158">
        <v>42950</v>
      </c>
      <c r="M79" s="158">
        <v>1196387.6666666667</v>
      </c>
      <c r="N79" s="158">
        <v>21574.333333333336</v>
      </c>
      <c r="O79" s="158">
        <v>11800</v>
      </c>
      <c r="P79" s="159">
        <v>336160.00000000006</v>
      </c>
      <c r="Q79" s="159">
        <v>0</v>
      </c>
      <c r="R79" s="159">
        <v>0</v>
      </c>
      <c r="S79" s="159">
        <v>1200</v>
      </c>
      <c r="T79" s="159">
        <v>27631.26</v>
      </c>
      <c r="U79" s="159">
        <v>40430</v>
      </c>
      <c r="V79" s="158">
        <v>0</v>
      </c>
      <c r="W79" s="159">
        <v>50099</v>
      </c>
      <c r="X79" s="159">
        <v>17731</v>
      </c>
      <c r="Y79" s="159">
        <v>65600</v>
      </c>
      <c r="Z79" s="159">
        <v>0</v>
      </c>
      <c r="AA79" s="159">
        <v>0</v>
      </c>
      <c r="AB79" s="159">
        <v>0</v>
      </c>
      <c r="AC79" s="159"/>
      <c r="AD79" s="159">
        <v>25520</v>
      </c>
      <c r="AE79" s="159">
        <v>0</v>
      </c>
      <c r="AF79" s="159">
        <v>0</v>
      </c>
      <c r="AG79" s="159">
        <v>24924.38</v>
      </c>
      <c r="AH79" s="159">
        <v>0</v>
      </c>
      <c r="AI79" s="160">
        <v>28921.56</v>
      </c>
      <c r="AJ79" s="162"/>
      <c r="AK79" s="161">
        <f t="shared" si="4"/>
        <v>10715425.359262835</v>
      </c>
    </row>
    <row r="80" spans="1:37" ht="15.75" x14ac:dyDescent="0.3">
      <c r="A80" s="132">
        <v>3074030</v>
      </c>
      <c r="B80" s="129" t="s">
        <v>198</v>
      </c>
      <c r="C80" s="154">
        <v>0</v>
      </c>
      <c r="D80" s="154">
        <v>0</v>
      </c>
      <c r="E80" s="155">
        <f t="shared" si="5"/>
        <v>0</v>
      </c>
      <c r="F80" s="162">
        <v>3072164</v>
      </c>
      <c r="G80" s="157">
        <v>237766.91616438355</v>
      </c>
      <c r="H80" s="157">
        <v>0</v>
      </c>
      <c r="I80" s="157">
        <v>33370.999999999993</v>
      </c>
      <c r="J80" s="158">
        <v>0</v>
      </c>
      <c r="K80" s="158">
        <v>0</v>
      </c>
      <c r="L80" s="158">
        <v>0</v>
      </c>
      <c r="M80" s="158">
        <v>0</v>
      </c>
      <c r="N80" s="158">
        <v>0</v>
      </c>
      <c r="O80" s="158">
        <v>0</v>
      </c>
      <c r="P80" s="159">
        <v>0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58">
        <v>0</v>
      </c>
      <c r="W80" s="159">
        <v>0</v>
      </c>
      <c r="X80" s="159">
        <v>0</v>
      </c>
      <c r="Y80" s="159">
        <v>0</v>
      </c>
      <c r="Z80" s="159">
        <v>0</v>
      </c>
      <c r="AA80" s="159">
        <v>0</v>
      </c>
      <c r="AB80" s="159">
        <v>0</v>
      </c>
      <c r="AC80" s="159"/>
      <c r="AD80" s="159">
        <v>0</v>
      </c>
      <c r="AE80" s="159">
        <v>0</v>
      </c>
      <c r="AF80" s="159">
        <v>0</v>
      </c>
      <c r="AG80" s="159">
        <v>0</v>
      </c>
      <c r="AH80" s="159">
        <v>0</v>
      </c>
      <c r="AI80" s="160">
        <v>0</v>
      </c>
      <c r="AJ80" s="162"/>
      <c r="AK80" s="161">
        <f t="shared" si="4"/>
        <v>271137.91616438353</v>
      </c>
    </row>
    <row r="81" spans="1:37" ht="15.75" x14ac:dyDescent="0.3">
      <c r="A81" s="132">
        <v>3074031</v>
      </c>
      <c r="B81" s="129" t="s">
        <v>210</v>
      </c>
      <c r="C81" s="154">
        <v>0</v>
      </c>
      <c r="D81" s="154">
        <v>0</v>
      </c>
      <c r="E81" s="155">
        <f t="shared" si="5"/>
        <v>0</v>
      </c>
      <c r="F81" s="162">
        <v>3075402</v>
      </c>
      <c r="G81" s="157">
        <v>193849.94520547945</v>
      </c>
      <c r="H81" s="157">
        <v>0</v>
      </c>
      <c r="I81" s="157">
        <v>0</v>
      </c>
      <c r="J81" s="158">
        <v>0</v>
      </c>
      <c r="K81" s="158">
        <v>0</v>
      </c>
      <c r="L81" s="158">
        <v>0</v>
      </c>
      <c r="M81" s="158">
        <v>0</v>
      </c>
      <c r="N81" s="158">
        <v>0</v>
      </c>
      <c r="O81" s="158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58">
        <v>0</v>
      </c>
      <c r="W81" s="159">
        <v>0</v>
      </c>
      <c r="X81" s="159">
        <v>0</v>
      </c>
      <c r="Y81" s="159">
        <v>0</v>
      </c>
      <c r="Z81" s="159">
        <v>0</v>
      </c>
      <c r="AA81" s="159">
        <v>0</v>
      </c>
      <c r="AB81" s="159">
        <v>0</v>
      </c>
      <c r="AC81" s="159"/>
      <c r="AD81" s="159">
        <v>0</v>
      </c>
      <c r="AE81" s="159">
        <v>0</v>
      </c>
      <c r="AF81" s="159">
        <v>0</v>
      </c>
      <c r="AG81" s="159">
        <v>0</v>
      </c>
      <c r="AH81" s="159">
        <v>0</v>
      </c>
      <c r="AI81" s="160">
        <v>0</v>
      </c>
      <c r="AJ81" s="162"/>
      <c r="AK81" s="161">
        <f t="shared" si="4"/>
        <v>193849.94520547945</v>
      </c>
    </row>
    <row r="82" spans="1:37" ht="15.75" x14ac:dyDescent="0.3">
      <c r="A82" s="132">
        <v>3074036</v>
      </c>
      <c r="B82" s="129" t="s">
        <v>209</v>
      </c>
      <c r="C82" s="154">
        <v>7550042.6344670272</v>
      </c>
      <c r="D82" s="154">
        <v>157000</v>
      </c>
      <c r="E82" s="155">
        <f t="shared" si="5"/>
        <v>7707042.6344670272</v>
      </c>
      <c r="F82" s="162">
        <v>3073510</v>
      </c>
      <c r="G82" s="157">
        <v>375717.789041096</v>
      </c>
      <c r="H82" s="157">
        <v>0</v>
      </c>
      <c r="I82" s="157">
        <v>166789.94863013699</v>
      </c>
      <c r="J82" s="158">
        <v>0</v>
      </c>
      <c r="K82" s="158">
        <v>0</v>
      </c>
      <c r="L82" s="158">
        <v>0</v>
      </c>
      <c r="M82" s="158">
        <v>1508502.6666666667</v>
      </c>
      <c r="N82" s="158">
        <v>15094</v>
      </c>
      <c r="O82" s="158">
        <v>23800</v>
      </c>
      <c r="P82" s="159">
        <v>235025</v>
      </c>
      <c r="Q82" s="159">
        <v>0</v>
      </c>
      <c r="R82" s="159">
        <v>0</v>
      </c>
      <c r="S82" s="159">
        <v>0</v>
      </c>
      <c r="T82" s="159">
        <v>14911.5</v>
      </c>
      <c r="U82" s="159">
        <v>41560</v>
      </c>
      <c r="V82" s="158">
        <v>0</v>
      </c>
      <c r="W82" s="159">
        <v>70438</v>
      </c>
      <c r="X82" s="159">
        <v>24930</v>
      </c>
      <c r="Y82" s="159">
        <v>60390</v>
      </c>
      <c r="Z82" s="159">
        <v>0</v>
      </c>
      <c r="AA82" s="159">
        <v>0</v>
      </c>
      <c r="AB82" s="159">
        <v>0</v>
      </c>
      <c r="AC82" s="159"/>
      <c r="AD82" s="159">
        <v>17493</v>
      </c>
      <c r="AE82" s="159">
        <v>5790</v>
      </c>
      <c r="AF82" s="159">
        <v>3000</v>
      </c>
      <c r="AG82" s="159">
        <v>17344.68</v>
      </c>
      <c r="AH82" s="159">
        <v>0</v>
      </c>
      <c r="AI82" s="160">
        <v>30114.06</v>
      </c>
      <c r="AJ82" s="162"/>
      <c r="AK82" s="161">
        <f t="shared" si="4"/>
        <v>10317943.278804928</v>
      </c>
    </row>
    <row r="83" spans="1:37" ht="15.75" x14ac:dyDescent="0.3">
      <c r="A83" s="132">
        <v>3074602</v>
      </c>
      <c r="B83" s="129" t="s">
        <v>252</v>
      </c>
      <c r="C83" s="154">
        <v>0</v>
      </c>
      <c r="D83" s="154">
        <v>0</v>
      </c>
      <c r="E83" s="155">
        <f t="shared" si="5"/>
        <v>0</v>
      </c>
      <c r="F83" s="162">
        <v>3074602</v>
      </c>
      <c r="G83" s="157">
        <v>205868.20397260276</v>
      </c>
      <c r="H83" s="157">
        <v>0</v>
      </c>
      <c r="I83" s="157">
        <v>155581.03607305937</v>
      </c>
      <c r="J83" s="158">
        <v>0</v>
      </c>
      <c r="K83" s="158">
        <v>0</v>
      </c>
      <c r="L83" s="158">
        <v>0</v>
      </c>
      <c r="M83" s="158">
        <v>0</v>
      </c>
      <c r="N83" s="158">
        <v>0</v>
      </c>
      <c r="O83" s="158">
        <v>0</v>
      </c>
      <c r="P83" s="159">
        <v>0</v>
      </c>
      <c r="Q83" s="159">
        <v>0</v>
      </c>
      <c r="R83" s="159">
        <v>0</v>
      </c>
      <c r="S83" s="159">
        <v>0</v>
      </c>
      <c r="T83" s="159">
        <v>0</v>
      </c>
      <c r="U83" s="159">
        <v>0</v>
      </c>
      <c r="V83" s="158">
        <v>0</v>
      </c>
      <c r="W83" s="159">
        <v>0</v>
      </c>
      <c r="X83" s="159">
        <v>0</v>
      </c>
      <c r="Y83" s="159">
        <v>0</v>
      </c>
      <c r="Z83" s="159">
        <v>0</v>
      </c>
      <c r="AA83" s="159">
        <v>0</v>
      </c>
      <c r="AB83" s="159">
        <v>0</v>
      </c>
      <c r="AC83" s="159"/>
      <c r="AD83" s="159">
        <v>0</v>
      </c>
      <c r="AE83" s="159">
        <v>0</v>
      </c>
      <c r="AF83" s="159">
        <v>0</v>
      </c>
      <c r="AG83" s="159">
        <v>0</v>
      </c>
      <c r="AH83" s="159">
        <v>0</v>
      </c>
      <c r="AI83" s="160">
        <v>0</v>
      </c>
      <c r="AJ83" s="162"/>
      <c r="AK83" s="161">
        <f t="shared" si="4"/>
        <v>361449.24004566215</v>
      </c>
    </row>
    <row r="84" spans="1:37" ht="15.75" x14ac:dyDescent="0.3">
      <c r="A84" s="132">
        <v>3074603</v>
      </c>
      <c r="B84" s="129" t="s">
        <v>192</v>
      </c>
      <c r="C84" s="154">
        <v>9387655.9517849926</v>
      </c>
      <c r="D84" s="154">
        <v>0</v>
      </c>
      <c r="E84" s="155">
        <f t="shared" si="5"/>
        <v>9387655.9517849926</v>
      </c>
      <c r="F84" s="162">
        <v>3075400</v>
      </c>
      <c r="G84" s="157">
        <v>318541.82958904101</v>
      </c>
      <c r="H84" s="157">
        <v>0</v>
      </c>
      <c r="I84" s="157">
        <v>0</v>
      </c>
      <c r="J84" s="158">
        <v>0</v>
      </c>
      <c r="K84" s="158">
        <v>0</v>
      </c>
      <c r="L84" s="158">
        <v>0</v>
      </c>
      <c r="M84" s="158">
        <v>2178853.666666667</v>
      </c>
      <c r="N84" s="158">
        <v>26421</v>
      </c>
      <c r="O84" s="158">
        <v>34800</v>
      </c>
      <c r="P84" s="159">
        <v>202639.99999999997</v>
      </c>
      <c r="Q84" s="159">
        <v>0</v>
      </c>
      <c r="R84" s="159">
        <v>0</v>
      </c>
      <c r="S84" s="159">
        <v>1200</v>
      </c>
      <c r="T84" s="159">
        <v>0</v>
      </c>
      <c r="U84" s="159">
        <v>50600</v>
      </c>
      <c r="V84" s="158">
        <v>0</v>
      </c>
      <c r="W84" s="159">
        <v>104525</v>
      </c>
      <c r="X84" s="159">
        <v>36994</v>
      </c>
      <c r="Y84" s="159">
        <v>56720</v>
      </c>
      <c r="Z84" s="159">
        <v>0</v>
      </c>
      <c r="AA84" s="159">
        <v>0</v>
      </c>
      <c r="AB84" s="159">
        <v>0</v>
      </c>
      <c r="AC84" s="159"/>
      <c r="AD84" s="159">
        <v>14645</v>
      </c>
      <c r="AE84" s="159">
        <v>21000</v>
      </c>
      <c r="AF84" s="159">
        <v>0</v>
      </c>
      <c r="AG84" s="159">
        <v>14293.12</v>
      </c>
      <c r="AH84" s="159">
        <v>0</v>
      </c>
      <c r="AI84" s="160">
        <v>0</v>
      </c>
      <c r="AJ84" s="162"/>
      <c r="AK84" s="161">
        <f t="shared" si="4"/>
        <v>12448889.568040701</v>
      </c>
    </row>
    <row r="85" spans="1:37" ht="15.75" x14ac:dyDescent="0.3">
      <c r="A85" s="132">
        <v>3075200</v>
      </c>
      <c r="B85" s="129" t="s">
        <v>262</v>
      </c>
      <c r="C85" s="154">
        <v>0</v>
      </c>
      <c r="D85" s="154">
        <v>0</v>
      </c>
      <c r="E85" s="155">
        <f t="shared" si="5"/>
        <v>0</v>
      </c>
      <c r="F85" s="162">
        <v>3075200</v>
      </c>
      <c r="G85" s="157">
        <v>61524.947945205458</v>
      </c>
      <c r="H85" s="157">
        <v>0</v>
      </c>
      <c r="I85" s="157">
        <v>0</v>
      </c>
      <c r="J85" s="158">
        <v>0</v>
      </c>
      <c r="K85" s="158">
        <v>83620.049999999988</v>
      </c>
      <c r="L85" s="158">
        <v>0</v>
      </c>
      <c r="M85" s="158">
        <v>0</v>
      </c>
      <c r="N85" s="158">
        <v>0</v>
      </c>
      <c r="O85" s="158">
        <v>0</v>
      </c>
      <c r="P85" s="159">
        <v>0</v>
      </c>
      <c r="Q85" s="159">
        <v>0</v>
      </c>
      <c r="R85" s="159">
        <v>0</v>
      </c>
      <c r="S85" s="159">
        <v>0</v>
      </c>
      <c r="T85" s="159">
        <v>0</v>
      </c>
      <c r="U85" s="159">
        <v>0</v>
      </c>
      <c r="V85" s="158">
        <v>0</v>
      </c>
      <c r="W85" s="159">
        <v>0</v>
      </c>
      <c r="X85" s="159">
        <v>0</v>
      </c>
      <c r="Y85" s="159">
        <v>0</v>
      </c>
      <c r="Z85" s="159">
        <v>0</v>
      </c>
      <c r="AA85" s="159">
        <v>0</v>
      </c>
      <c r="AB85" s="159">
        <v>0</v>
      </c>
      <c r="AC85" s="159"/>
      <c r="AD85" s="159">
        <v>0</v>
      </c>
      <c r="AE85" s="159">
        <v>0</v>
      </c>
      <c r="AF85" s="159">
        <v>0</v>
      </c>
      <c r="AG85" s="159">
        <v>0</v>
      </c>
      <c r="AH85" s="159">
        <v>0</v>
      </c>
      <c r="AI85" s="160">
        <v>0</v>
      </c>
      <c r="AJ85" s="162"/>
      <c r="AK85" s="161">
        <f t="shared" si="4"/>
        <v>145144.99794520545</v>
      </c>
    </row>
    <row r="86" spans="1:37" ht="15.75" x14ac:dyDescent="0.3">
      <c r="A86" s="132">
        <v>3075201</v>
      </c>
      <c r="B86" s="129" t="s">
        <v>261</v>
      </c>
      <c r="C86" s="154">
        <v>397014.79166666669</v>
      </c>
      <c r="D86" s="154">
        <v>0</v>
      </c>
      <c r="E86" s="155">
        <f t="shared" si="5"/>
        <v>397014.79166666669</v>
      </c>
      <c r="F86" s="162">
        <v>3075201</v>
      </c>
      <c r="G86" s="157">
        <v>5533.9890410959006</v>
      </c>
      <c r="H86" s="157">
        <v>0</v>
      </c>
      <c r="I86" s="157">
        <v>0</v>
      </c>
      <c r="J86" s="158">
        <v>0</v>
      </c>
      <c r="K86" s="158">
        <v>44494.8</v>
      </c>
      <c r="L86" s="158">
        <v>0</v>
      </c>
      <c r="M86" s="158">
        <v>0</v>
      </c>
      <c r="N86" s="158">
        <v>0</v>
      </c>
      <c r="O86" s="158">
        <v>0</v>
      </c>
      <c r="P86" s="159">
        <v>14512.5</v>
      </c>
      <c r="Q86" s="159">
        <v>17111</v>
      </c>
      <c r="R86" s="159">
        <v>0</v>
      </c>
      <c r="S86" s="159">
        <v>0</v>
      </c>
      <c r="T86" s="159">
        <v>0</v>
      </c>
      <c r="U86" s="159">
        <v>5630</v>
      </c>
      <c r="V86" s="158">
        <v>0</v>
      </c>
      <c r="W86" s="159">
        <v>2503</v>
      </c>
      <c r="X86" s="159">
        <v>886</v>
      </c>
      <c r="Y86" s="159">
        <v>0</v>
      </c>
      <c r="Z86" s="159">
        <v>0</v>
      </c>
      <c r="AA86" s="159">
        <v>0</v>
      </c>
      <c r="AB86" s="159">
        <v>0</v>
      </c>
      <c r="AC86" s="159"/>
      <c r="AD86" s="159">
        <v>1196.25</v>
      </c>
      <c r="AE86" s="159">
        <v>0</v>
      </c>
      <c r="AF86" s="159">
        <v>0</v>
      </c>
      <c r="AG86" s="159">
        <v>826.88</v>
      </c>
      <c r="AH86" s="159">
        <v>0</v>
      </c>
      <c r="AI86" s="160">
        <v>6277</v>
      </c>
      <c r="AJ86" s="162"/>
      <c r="AK86" s="161">
        <f t="shared" si="4"/>
        <v>495986.21070776263</v>
      </c>
    </row>
    <row r="87" spans="1:37" ht="15.75" x14ac:dyDescent="0.3">
      <c r="A87" s="132">
        <v>3075400</v>
      </c>
      <c r="B87" s="129" t="s">
        <v>190</v>
      </c>
      <c r="C87" s="154">
        <v>9209183.4062502757</v>
      </c>
      <c r="D87" s="154">
        <v>0</v>
      </c>
      <c r="E87" s="155">
        <f t="shared" si="5"/>
        <v>9209183.4062502757</v>
      </c>
      <c r="F87" s="162">
        <v>3072005</v>
      </c>
      <c r="G87" s="157">
        <v>146385.96712328776</v>
      </c>
      <c r="H87" s="157">
        <v>0</v>
      </c>
      <c r="I87" s="157">
        <v>0</v>
      </c>
      <c r="J87" s="158">
        <v>0</v>
      </c>
      <c r="K87" s="158">
        <v>0</v>
      </c>
      <c r="L87" s="158">
        <v>0</v>
      </c>
      <c r="M87" s="158">
        <v>1240295.3333333333</v>
      </c>
      <c r="N87" s="158">
        <v>20410.666666666668</v>
      </c>
      <c r="O87" s="158">
        <v>4000</v>
      </c>
      <c r="P87" s="159">
        <v>470294.99999999994</v>
      </c>
      <c r="Q87" s="159">
        <v>0</v>
      </c>
      <c r="R87" s="159">
        <v>0</v>
      </c>
      <c r="S87" s="159">
        <v>0</v>
      </c>
      <c r="T87" s="159">
        <v>45381</v>
      </c>
      <c r="U87" s="159">
        <v>44260</v>
      </c>
      <c r="V87" s="158">
        <v>0</v>
      </c>
      <c r="W87" s="159">
        <v>55033</v>
      </c>
      <c r="X87" s="159">
        <v>19478</v>
      </c>
      <c r="Y87" s="159">
        <v>55600</v>
      </c>
      <c r="Z87" s="159">
        <v>0</v>
      </c>
      <c r="AA87" s="159">
        <v>0</v>
      </c>
      <c r="AB87" s="159">
        <v>0</v>
      </c>
      <c r="AC87" s="159"/>
      <c r="AD87" s="159">
        <v>35670</v>
      </c>
      <c r="AE87" s="159">
        <v>409.5</v>
      </c>
      <c r="AF87" s="159">
        <v>0</v>
      </c>
      <c r="AG87" s="159">
        <v>34846.879999999997</v>
      </c>
      <c r="AH87" s="159">
        <v>0</v>
      </c>
      <c r="AI87" s="160">
        <v>30552.81</v>
      </c>
      <c r="AJ87" s="162"/>
      <c r="AK87" s="161">
        <f t="shared" si="4"/>
        <v>11411801.563373564</v>
      </c>
    </row>
    <row r="88" spans="1:37" ht="15.75" x14ac:dyDescent="0.3">
      <c r="A88" s="132">
        <v>3075401</v>
      </c>
      <c r="B88" s="129" t="s">
        <v>215</v>
      </c>
      <c r="C88" s="154">
        <v>9810996.5761920866</v>
      </c>
      <c r="D88" s="154">
        <v>102500</v>
      </c>
      <c r="E88" s="155">
        <f t="shared" si="5"/>
        <v>9913496.5761920866</v>
      </c>
      <c r="F88" s="162">
        <v>3072168</v>
      </c>
      <c r="G88" s="157">
        <v>244612.79178082198</v>
      </c>
      <c r="H88" s="157">
        <v>0</v>
      </c>
      <c r="I88" s="157">
        <v>83674</v>
      </c>
      <c r="J88" s="158">
        <v>0</v>
      </c>
      <c r="K88" s="158">
        <v>0</v>
      </c>
      <c r="L88" s="158">
        <v>171800</v>
      </c>
      <c r="M88" s="158">
        <v>2623224.6666666665</v>
      </c>
      <c r="N88" s="158">
        <v>43780.666666666664</v>
      </c>
      <c r="O88" s="158">
        <v>0</v>
      </c>
      <c r="P88" s="159">
        <v>419695</v>
      </c>
      <c r="Q88" s="159">
        <v>0</v>
      </c>
      <c r="R88" s="159">
        <v>0</v>
      </c>
      <c r="S88" s="159">
        <v>0</v>
      </c>
      <c r="T88" s="159">
        <v>86565</v>
      </c>
      <c r="U88" s="159">
        <v>47000</v>
      </c>
      <c r="V88" s="158">
        <v>0</v>
      </c>
      <c r="W88" s="159">
        <v>118410</v>
      </c>
      <c r="X88" s="159">
        <v>41907</v>
      </c>
      <c r="Y88" s="159">
        <v>61680</v>
      </c>
      <c r="Z88" s="159">
        <v>0</v>
      </c>
      <c r="AA88" s="159">
        <v>2000</v>
      </c>
      <c r="AB88" s="159">
        <v>0</v>
      </c>
      <c r="AC88" s="159"/>
      <c r="AD88" s="159">
        <v>31781.5</v>
      </c>
      <c r="AE88" s="159">
        <v>11790</v>
      </c>
      <c r="AF88" s="159">
        <v>0</v>
      </c>
      <c r="AG88" s="159">
        <v>31283.439999999999</v>
      </c>
      <c r="AH88" s="159">
        <v>14221.369999999999</v>
      </c>
      <c r="AI88" s="160">
        <v>37224.06</v>
      </c>
      <c r="AJ88" s="162"/>
      <c r="AK88" s="161">
        <f t="shared" si="4"/>
        <v>13984146.071306242</v>
      </c>
    </row>
    <row r="89" spans="1:37" ht="15.75" x14ac:dyDescent="0.3">
      <c r="A89" s="132">
        <v>3075402</v>
      </c>
      <c r="B89" s="129" t="s">
        <v>208</v>
      </c>
      <c r="C89" s="154">
        <v>7274176.2569380179</v>
      </c>
      <c r="D89" s="154">
        <v>0</v>
      </c>
      <c r="E89" s="155">
        <f t="shared" si="5"/>
        <v>7274176.2569380179</v>
      </c>
      <c r="F89" s="162">
        <v>3072022</v>
      </c>
      <c r="G89" s="157">
        <v>191221.64054794522</v>
      </c>
      <c r="H89" s="157">
        <v>0</v>
      </c>
      <c r="I89" s="157">
        <v>0</v>
      </c>
      <c r="J89" s="158">
        <v>0</v>
      </c>
      <c r="K89" s="158">
        <v>0</v>
      </c>
      <c r="L89" s="158">
        <v>0</v>
      </c>
      <c r="M89" s="158">
        <v>1238150.3333333333</v>
      </c>
      <c r="N89" s="158">
        <v>22278.333333333336</v>
      </c>
      <c r="O89" s="158">
        <v>0</v>
      </c>
      <c r="P89" s="159">
        <v>369064.99999999994</v>
      </c>
      <c r="Q89" s="159">
        <v>0</v>
      </c>
      <c r="R89" s="159">
        <v>0</v>
      </c>
      <c r="S89" s="159">
        <v>0</v>
      </c>
      <c r="T89" s="159">
        <v>18441.330000000002</v>
      </c>
      <c r="U89" s="159">
        <v>35330</v>
      </c>
      <c r="V89" s="158">
        <v>0</v>
      </c>
      <c r="W89" s="159">
        <v>56235</v>
      </c>
      <c r="X89" s="159">
        <v>19902</v>
      </c>
      <c r="Y89" s="159">
        <v>53310</v>
      </c>
      <c r="Z89" s="159">
        <v>0</v>
      </c>
      <c r="AA89" s="159">
        <v>0</v>
      </c>
      <c r="AB89" s="159">
        <v>0</v>
      </c>
      <c r="AC89" s="159"/>
      <c r="AD89" s="159">
        <v>27840</v>
      </c>
      <c r="AE89" s="159">
        <v>10275</v>
      </c>
      <c r="AF89" s="159">
        <v>0</v>
      </c>
      <c r="AG89" s="159">
        <v>27168.75</v>
      </c>
      <c r="AH89" s="159">
        <v>0</v>
      </c>
      <c r="AI89" s="160">
        <v>26905</v>
      </c>
      <c r="AJ89" s="162"/>
      <c r="AK89" s="161">
        <f t="shared" si="4"/>
        <v>9370298.6441526301</v>
      </c>
    </row>
    <row r="90" spans="1:37" ht="15.75" x14ac:dyDescent="0.3">
      <c r="A90" s="132">
        <v>3075403</v>
      </c>
      <c r="B90" s="129" t="s">
        <v>203</v>
      </c>
      <c r="C90" s="154">
        <v>0</v>
      </c>
      <c r="D90" s="154">
        <v>0</v>
      </c>
      <c r="E90" s="155">
        <f t="shared" si="5"/>
        <v>0</v>
      </c>
      <c r="F90" s="162">
        <v>3072092</v>
      </c>
      <c r="G90" s="157">
        <v>307699.4773972602</v>
      </c>
      <c r="H90" s="157">
        <v>0</v>
      </c>
      <c r="I90" s="157">
        <v>0</v>
      </c>
      <c r="J90" s="158">
        <v>0</v>
      </c>
      <c r="K90" s="158">
        <v>0</v>
      </c>
      <c r="L90" s="158">
        <v>0</v>
      </c>
      <c r="M90" s="158">
        <v>0</v>
      </c>
      <c r="N90" s="158">
        <v>0</v>
      </c>
      <c r="O90" s="158">
        <v>0</v>
      </c>
      <c r="P90" s="159">
        <v>0</v>
      </c>
      <c r="Q90" s="159">
        <v>0</v>
      </c>
      <c r="R90" s="159">
        <v>0</v>
      </c>
      <c r="S90" s="159">
        <v>0</v>
      </c>
      <c r="T90" s="159">
        <v>0</v>
      </c>
      <c r="U90" s="159">
        <v>0</v>
      </c>
      <c r="V90" s="158">
        <v>0</v>
      </c>
      <c r="W90" s="159">
        <v>0</v>
      </c>
      <c r="X90" s="159">
        <v>0</v>
      </c>
      <c r="Y90" s="159">
        <v>0</v>
      </c>
      <c r="Z90" s="159">
        <v>0</v>
      </c>
      <c r="AA90" s="159">
        <v>0</v>
      </c>
      <c r="AB90" s="159">
        <v>0</v>
      </c>
      <c r="AC90" s="159"/>
      <c r="AD90" s="159">
        <v>0</v>
      </c>
      <c r="AE90" s="159">
        <v>0</v>
      </c>
      <c r="AF90" s="159">
        <v>0</v>
      </c>
      <c r="AG90" s="159">
        <v>0</v>
      </c>
      <c r="AH90" s="159">
        <v>0</v>
      </c>
      <c r="AI90" s="160">
        <v>0</v>
      </c>
      <c r="AJ90" s="162"/>
      <c r="AK90" s="161">
        <f t="shared" si="4"/>
        <v>307699.4773972602</v>
      </c>
    </row>
    <row r="91" spans="1:37" ht="15.75" x14ac:dyDescent="0.3">
      <c r="A91" s="132">
        <v>3075404</v>
      </c>
      <c r="B91" s="129" t="s">
        <v>231</v>
      </c>
      <c r="C91" s="154">
        <v>4599542.3949957266</v>
      </c>
      <c r="D91" s="154">
        <v>0</v>
      </c>
      <c r="E91" s="155">
        <f t="shared" si="5"/>
        <v>4599542.3949957266</v>
      </c>
      <c r="F91" s="162">
        <v>3075404</v>
      </c>
      <c r="G91" s="157">
        <v>106935.39726027395</v>
      </c>
      <c r="H91" s="157">
        <v>0</v>
      </c>
      <c r="I91" s="157">
        <v>0</v>
      </c>
      <c r="J91" s="158">
        <v>0</v>
      </c>
      <c r="K91" s="158">
        <v>0</v>
      </c>
      <c r="L91" s="158">
        <v>467523</v>
      </c>
      <c r="M91" s="158">
        <v>598025.33333333337</v>
      </c>
      <c r="N91" s="158">
        <v>3857.6666666666665</v>
      </c>
      <c r="O91" s="158">
        <v>0</v>
      </c>
      <c r="P91" s="159">
        <v>243835</v>
      </c>
      <c r="Q91" s="159">
        <v>0</v>
      </c>
      <c r="R91" s="159">
        <v>0</v>
      </c>
      <c r="S91" s="159">
        <v>0</v>
      </c>
      <c r="T91" s="159">
        <v>17673.810000000001</v>
      </c>
      <c r="U91" s="159">
        <v>21060</v>
      </c>
      <c r="V91" s="158">
        <v>0</v>
      </c>
      <c r="W91" s="159">
        <v>35596</v>
      </c>
      <c r="X91" s="159">
        <v>12598</v>
      </c>
      <c r="Y91" s="159">
        <v>54410</v>
      </c>
      <c r="Z91" s="159">
        <v>0</v>
      </c>
      <c r="AA91" s="159">
        <v>0</v>
      </c>
      <c r="AB91" s="159">
        <v>455</v>
      </c>
      <c r="AC91" s="159"/>
      <c r="AD91" s="159">
        <v>18487.5</v>
      </c>
      <c r="AE91" s="159">
        <v>0</v>
      </c>
      <c r="AF91" s="159">
        <v>0</v>
      </c>
      <c r="AG91" s="159">
        <v>18073.12</v>
      </c>
      <c r="AH91" s="159">
        <v>15824.66</v>
      </c>
      <c r="AI91" s="160">
        <v>14743.75</v>
      </c>
      <c r="AJ91" s="162"/>
      <c r="AK91" s="161">
        <f t="shared" si="4"/>
        <v>6228640.6322560012</v>
      </c>
    </row>
    <row r="92" spans="1:37" ht="15.75" x14ac:dyDescent="0.3">
      <c r="A92" s="132">
        <v>3076905</v>
      </c>
      <c r="B92" s="129" t="s">
        <v>181</v>
      </c>
      <c r="C92" s="154">
        <v>0</v>
      </c>
      <c r="D92" s="154">
        <v>0</v>
      </c>
      <c r="E92" s="155">
        <f t="shared" si="5"/>
        <v>0</v>
      </c>
      <c r="F92" s="162">
        <v>3072161</v>
      </c>
      <c r="G92" s="157">
        <v>414304.91232876724</v>
      </c>
      <c r="H92" s="157">
        <v>0</v>
      </c>
      <c r="I92" s="157">
        <v>0</v>
      </c>
      <c r="J92" s="158">
        <v>0</v>
      </c>
      <c r="K92" s="158">
        <v>208885.05000000002</v>
      </c>
      <c r="L92" s="158">
        <v>0</v>
      </c>
      <c r="M92" s="158">
        <v>0</v>
      </c>
      <c r="N92" s="158">
        <v>0</v>
      </c>
      <c r="O92" s="158">
        <v>0</v>
      </c>
      <c r="P92" s="159">
        <v>0</v>
      </c>
      <c r="Q92" s="159">
        <v>0</v>
      </c>
      <c r="R92" s="159">
        <v>0</v>
      </c>
      <c r="S92" s="159">
        <v>0</v>
      </c>
      <c r="T92" s="159">
        <v>0</v>
      </c>
      <c r="U92" s="159">
        <v>0</v>
      </c>
      <c r="V92" s="158">
        <v>0</v>
      </c>
      <c r="W92" s="159">
        <v>0</v>
      </c>
      <c r="X92" s="159">
        <v>0</v>
      </c>
      <c r="Y92" s="159">
        <v>0</v>
      </c>
      <c r="Z92" s="159">
        <v>0</v>
      </c>
      <c r="AA92" s="159">
        <v>0</v>
      </c>
      <c r="AB92" s="159">
        <v>0</v>
      </c>
      <c r="AC92" s="159"/>
      <c r="AD92" s="159">
        <v>0</v>
      </c>
      <c r="AE92" s="159">
        <v>0</v>
      </c>
      <c r="AF92" s="159">
        <v>0</v>
      </c>
      <c r="AG92" s="159">
        <v>0</v>
      </c>
      <c r="AH92" s="159">
        <v>0</v>
      </c>
      <c r="AI92" s="160">
        <v>0</v>
      </c>
      <c r="AJ92" s="162"/>
      <c r="AK92" s="161">
        <f t="shared" si="4"/>
        <v>623189.96232876729</v>
      </c>
    </row>
    <row r="93" spans="1:37" ht="15.75" x14ac:dyDescent="0.3">
      <c r="A93" s="132">
        <v>3077005</v>
      </c>
      <c r="B93" s="129" t="s">
        <v>5</v>
      </c>
      <c r="C93" s="154">
        <v>0</v>
      </c>
      <c r="D93" s="154">
        <v>2033333.33</v>
      </c>
      <c r="E93" s="155">
        <f t="shared" si="5"/>
        <v>2033333.33</v>
      </c>
      <c r="F93" s="162">
        <v>3072001</v>
      </c>
      <c r="G93" s="157">
        <v>0</v>
      </c>
      <c r="H93" s="157">
        <v>2610746.0977168949</v>
      </c>
      <c r="I93" s="157">
        <v>0</v>
      </c>
      <c r="J93" s="158">
        <v>0</v>
      </c>
      <c r="K93" s="158">
        <v>0</v>
      </c>
      <c r="L93" s="158">
        <v>0</v>
      </c>
      <c r="M93" s="158">
        <v>0</v>
      </c>
      <c r="N93" s="158">
        <v>0</v>
      </c>
      <c r="O93" s="158">
        <v>0</v>
      </c>
      <c r="P93" s="159">
        <v>76400</v>
      </c>
      <c r="Q93" s="159">
        <v>0</v>
      </c>
      <c r="R93" s="159">
        <v>0</v>
      </c>
      <c r="S93" s="159">
        <v>0</v>
      </c>
      <c r="T93" s="159">
        <v>26266</v>
      </c>
      <c r="U93" s="159">
        <v>19500</v>
      </c>
      <c r="V93" s="158">
        <v>4322.2</v>
      </c>
      <c r="W93" s="159">
        <v>0</v>
      </c>
      <c r="X93" s="159">
        <v>0</v>
      </c>
      <c r="Y93" s="159">
        <v>24540</v>
      </c>
      <c r="Z93" s="159">
        <v>0</v>
      </c>
      <c r="AA93" s="159">
        <v>0</v>
      </c>
      <c r="AB93" s="159">
        <v>0</v>
      </c>
      <c r="AC93" s="159"/>
      <c r="AD93" s="159">
        <v>11600</v>
      </c>
      <c r="AE93" s="159">
        <v>0</v>
      </c>
      <c r="AF93" s="159">
        <v>0</v>
      </c>
      <c r="AG93" s="159">
        <v>14805</v>
      </c>
      <c r="AH93" s="159">
        <v>0</v>
      </c>
      <c r="AI93" s="160">
        <v>13061.88</v>
      </c>
      <c r="AJ93" s="162"/>
      <c r="AK93" s="161">
        <f t="shared" si="4"/>
        <v>4834574.5077168951</v>
      </c>
    </row>
    <row r="94" spans="1:37" ht="15.75" x14ac:dyDescent="0.3">
      <c r="A94" s="132">
        <v>3077007</v>
      </c>
      <c r="B94" s="129" t="s">
        <v>6</v>
      </c>
      <c r="C94" s="154">
        <v>0</v>
      </c>
      <c r="D94" s="154">
        <v>1643333.33</v>
      </c>
      <c r="E94" s="155">
        <f t="shared" si="5"/>
        <v>1643333.33</v>
      </c>
      <c r="F94" s="162">
        <v>3072185</v>
      </c>
      <c r="G94" s="157">
        <v>0</v>
      </c>
      <c r="H94" s="157">
        <v>2409373.3116438356</v>
      </c>
      <c r="I94" s="157">
        <v>0</v>
      </c>
      <c r="J94" s="158">
        <v>0</v>
      </c>
      <c r="K94" s="158">
        <v>0</v>
      </c>
      <c r="L94" s="158">
        <v>0</v>
      </c>
      <c r="M94" s="158">
        <v>0</v>
      </c>
      <c r="N94" s="158">
        <v>0</v>
      </c>
      <c r="O94" s="158">
        <v>0</v>
      </c>
      <c r="P94" s="159">
        <v>76665</v>
      </c>
      <c r="Q94" s="159">
        <v>17495</v>
      </c>
      <c r="R94" s="159">
        <v>19155</v>
      </c>
      <c r="S94" s="159">
        <v>0</v>
      </c>
      <c r="T94" s="159">
        <v>0</v>
      </c>
      <c r="U94" s="159">
        <v>16200</v>
      </c>
      <c r="V94" s="158">
        <v>0</v>
      </c>
      <c r="W94" s="159">
        <v>0</v>
      </c>
      <c r="X94" s="159">
        <v>0</v>
      </c>
      <c r="Y94" s="159">
        <v>0</v>
      </c>
      <c r="Z94" s="159">
        <v>0</v>
      </c>
      <c r="AA94" s="159">
        <v>0</v>
      </c>
      <c r="AB94" s="159">
        <v>0</v>
      </c>
      <c r="AC94" s="159"/>
      <c r="AD94" s="159">
        <v>8265</v>
      </c>
      <c r="AE94" s="159">
        <v>0</v>
      </c>
      <c r="AF94" s="159">
        <v>0</v>
      </c>
      <c r="AG94" s="159">
        <v>10486.880000000001</v>
      </c>
      <c r="AH94" s="159">
        <v>0</v>
      </c>
      <c r="AI94" s="160">
        <v>12201.25</v>
      </c>
      <c r="AJ94" s="162"/>
      <c r="AK94" s="161">
        <f t="shared" si="4"/>
        <v>4213174.7716438361</v>
      </c>
    </row>
    <row r="95" spans="1:37" ht="15.75" x14ac:dyDescent="0.3">
      <c r="A95" s="132">
        <v>3077010</v>
      </c>
      <c r="B95" s="129" t="s">
        <v>9</v>
      </c>
      <c r="C95" s="154">
        <v>0</v>
      </c>
      <c r="D95" s="154">
        <v>1417500</v>
      </c>
      <c r="E95" s="155">
        <f t="shared" si="5"/>
        <v>1417500</v>
      </c>
      <c r="F95" s="162">
        <v>3077010</v>
      </c>
      <c r="G95" s="157">
        <v>0</v>
      </c>
      <c r="H95" s="157">
        <v>2530433.1627853881</v>
      </c>
      <c r="I95" s="157">
        <v>0</v>
      </c>
      <c r="J95" s="158">
        <v>0</v>
      </c>
      <c r="K95" s="158">
        <v>0</v>
      </c>
      <c r="L95" s="158">
        <v>0</v>
      </c>
      <c r="M95" s="158">
        <v>0</v>
      </c>
      <c r="N95" s="158">
        <v>0</v>
      </c>
      <c r="O95" s="158">
        <v>0</v>
      </c>
      <c r="P95" s="159">
        <v>57834.999999999985</v>
      </c>
      <c r="Q95" s="159">
        <v>17215</v>
      </c>
      <c r="R95" s="159">
        <v>21859</v>
      </c>
      <c r="S95" s="159">
        <v>0</v>
      </c>
      <c r="T95" s="159">
        <v>0</v>
      </c>
      <c r="U95" s="159">
        <v>14200</v>
      </c>
      <c r="V95" s="158">
        <v>0</v>
      </c>
      <c r="W95" s="159">
        <v>0</v>
      </c>
      <c r="X95" s="159">
        <v>0</v>
      </c>
      <c r="Y95" s="159">
        <v>0</v>
      </c>
      <c r="Z95" s="159">
        <v>0</v>
      </c>
      <c r="AA95" s="159">
        <v>0</v>
      </c>
      <c r="AB95" s="159">
        <v>0</v>
      </c>
      <c r="AC95" s="159"/>
      <c r="AD95" s="159">
        <v>6235</v>
      </c>
      <c r="AE95" s="159">
        <v>0</v>
      </c>
      <c r="AF95" s="159">
        <v>0</v>
      </c>
      <c r="AG95" s="159">
        <v>7094.06</v>
      </c>
      <c r="AH95" s="159">
        <v>0</v>
      </c>
      <c r="AI95" s="160">
        <v>11310.25</v>
      </c>
      <c r="AJ95" s="162"/>
      <c r="AK95" s="161">
        <f t="shared" si="4"/>
        <v>4083681.4727853881</v>
      </c>
    </row>
    <row r="96" spans="1:37" ht="15.75" x14ac:dyDescent="0.3">
      <c r="A96" s="132">
        <v>3077012</v>
      </c>
      <c r="B96" s="129" t="s">
        <v>8</v>
      </c>
      <c r="C96" s="154">
        <v>0</v>
      </c>
      <c r="D96" s="154">
        <v>1289999.99</v>
      </c>
      <c r="E96" s="155">
        <f t="shared" si="5"/>
        <v>1289999.99</v>
      </c>
      <c r="F96" s="162">
        <v>3077012</v>
      </c>
      <c r="G96" s="157">
        <v>0</v>
      </c>
      <c r="H96" s="157">
        <v>1750363.2904109587</v>
      </c>
      <c r="I96" s="157">
        <v>0</v>
      </c>
      <c r="J96" s="158">
        <v>0</v>
      </c>
      <c r="K96" s="158">
        <v>0</v>
      </c>
      <c r="L96" s="158">
        <v>0</v>
      </c>
      <c r="M96" s="158">
        <v>0</v>
      </c>
      <c r="N96" s="158">
        <v>0</v>
      </c>
      <c r="O96" s="158">
        <v>0</v>
      </c>
      <c r="P96" s="159">
        <v>55944.999999999985</v>
      </c>
      <c r="Q96" s="159">
        <v>16382</v>
      </c>
      <c r="R96" s="159">
        <v>6966</v>
      </c>
      <c r="S96" s="159">
        <v>0</v>
      </c>
      <c r="T96" s="159">
        <v>0</v>
      </c>
      <c r="U96" s="159">
        <v>12700</v>
      </c>
      <c r="V96" s="158">
        <v>498.89</v>
      </c>
      <c r="W96" s="159">
        <v>0</v>
      </c>
      <c r="X96" s="159">
        <v>0</v>
      </c>
      <c r="Y96" s="159">
        <v>19970</v>
      </c>
      <c r="Z96" s="159">
        <v>0</v>
      </c>
      <c r="AA96" s="159">
        <v>0</v>
      </c>
      <c r="AB96" s="159">
        <v>0</v>
      </c>
      <c r="AC96" s="159"/>
      <c r="AD96" s="159">
        <v>7395</v>
      </c>
      <c r="AE96" s="159">
        <v>0</v>
      </c>
      <c r="AF96" s="159">
        <v>1500</v>
      </c>
      <c r="AG96" s="159">
        <v>9253.1200000000008</v>
      </c>
      <c r="AH96" s="159">
        <v>0</v>
      </c>
      <c r="AI96" s="160">
        <v>9923.1200000000008</v>
      </c>
      <c r="AJ96" s="162"/>
      <c r="AK96" s="161">
        <f t="shared" si="4"/>
        <v>3180896.4104109588</v>
      </c>
    </row>
    <row r="97" spans="1:37" ht="15.75" x14ac:dyDescent="0.3">
      <c r="A97" s="132">
        <v>3077013</v>
      </c>
      <c r="B97" s="129" t="s">
        <v>11</v>
      </c>
      <c r="C97" s="154">
        <v>0</v>
      </c>
      <c r="D97" s="154">
        <v>1516666.67</v>
      </c>
      <c r="E97" s="155">
        <f t="shared" si="5"/>
        <v>1516666.67</v>
      </c>
      <c r="F97" s="162">
        <v>3077013</v>
      </c>
      <c r="G97" s="157">
        <v>0</v>
      </c>
      <c r="H97" s="157">
        <v>2786057.8378995438</v>
      </c>
      <c r="I97" s="157">
        <v>0</v>
      </c>
      <c r="J97" s="158">
        <v>0</v>
      </c>
      <c r="K97" s="158">
        <v>0</v>
      </c>
      <c r="L97" s="158">
        <v>0</v>
      </c>
      <c r="M97" s="158">
        <v>0</v>
      </c>
      <c r="N97" s="158">
        <v>0</v>
      </c>
      <c r="O97" s="158">
        <v>0</v>
      </c>
      <c r="P97" s="159">
        <v>70909.999999999985</v>
      </c>
      <c r="Q97" s="159">
        <v>16533</v>
      </c>
      <c r="R97" s="159">
        <v>5428</v>
      </c>
      <c r="S97" s="159">
        <v>1200</v>
      </c>
      <c r="T97" s="159">
        <v>12708.72</v>
      </c>
      <c r="U97" s="159">
        <v>14200</v>
      </c>
      <c r="V97" s="158">
        <v>1034.3900000000001</v>
      </c>
      <c r="W97" s="159">
        <v>0</v>
      </c>
      <c r="X97" s="159">
        <v>0</v>
      </c>
      <c r="Y97" s="159">
        <v>20580</v>
      </c>
      <c r="Z97" s="159">
        <v>0</v>
      </c>
      <c r="AA97" s="159">
        <v>0</v>
      </c>
      <c r="AB97" s="159">
        <v>0</v>
      </c>
      <c r="AC97" s="159"/>
      <c r="AD97" s="159">
        <v>8990</v>
      </c>
      <c r="AE97" s="159">
        <v>1890</v>
      </c>
      <c r="AF97" s="159">
        <v>0</v>
      </c>
      <c r="AG97" s="159">
        <v>11720.619999999999</v>
      </c>
      <c r="AH97" s="159">
        <v>0</v>
      </c>
      <c r="AI97" s="160">
        <v>10480</v>
      </c>
      <c r="AJ97" s="162"/>
      <c r="AK97" s="161">
        <f t="shared" si="4"/>
        <v>4478399.2378995437</v>
      </c>
    </row>
    <row r="98" spans="1:37" ht="15.75" x14ac:dyDescent="0.3">
      <c r="A98" s="132">
        <v>3077014</v>
      </c>
      <c r="B98" s="129" t="s">
        <v>12</v>
      </c>
      <c r="C98" s="154">
        <v>0</v>
      </c>
      <c r="D98" s="154">
        <v>1415000</v>
      </c>
      <c r="E98" s="155">
        <f t="shared" ref="E98" si="6">SUM(C98:D98)</f>
        <v>1415000</v>
      </c>
      <c r="F98" s="162">
        <v>3077014</v>
      </c>
      <c r="G98" s="157">
        <v>0</v>
      </c>
      <c r="H98" s="157">
        <v>2741900.6767123286</v>
      </c>
      <c r="I98" s="157">
        <v>0</v>
      </c>
      <c r="J98" s="158">
        <v>0</v>
      </c>
      <c r="K98" s="158">
        <v>0</v>
      </c>
      <c r="L98" s="158">
        <v>0</v>
      </c>
      <c r="M98" s="158">
        <v>0</v>
      </c>
      <c r="N98" s="158">
        <v>0</v>
      </c>
      <c r="O98" s="158">
        <v>0</v>
      </c>
      <c r="P98" s="159">
        <v>27175.000000000007</v>
      </c>
      <c r="Q98" s="159">
        <v>0</v>
      </c>
      <c r="R98" s="159">
        <v>0</v>
      </c>
      <c r="S98" s="159">
        <v>0</v>
      </c>
      <c r="T98" s="159">
        <v>0</v>
      </c>
      <c r="U98" s="159">
        <v>10300</v>
      </c>
      <c r="V98" s="158">
        <v>4072.24</v>
      </c>
      <c r="W98" s="159">
        <v>0</v>
      </c>
      <c r="X98" s="159">
        <v>0</v>
      </c>
      <c r="Y98" s="159">
        <v>33290</v>
      </c>
      <c r="Z98" s="159">
        <v>0</v>
      </c>
      <c r="AA98" s="159">
        <v>0</v>
      </c>
      <c r="AB98" s="159">
        <v>0</v>
      </c>
      <c r="AC98" s="159"/>
      <c r="AD98" s="159">
        <v>3770</v>
      </c>
      <c r="AE98" s="159">
        <v>0</v>
      </c>
      <c r="AF98" s="159">
        <v>0</v>
      </c>
      <c r="AG98" s="159">
        <v>4935</v>
      </c>
      <c r="AH98" s="159">
        <v>0</v>
      </c>
      <c r="AI98" s="160">
        <v>9163.75</v>
      </c>
      <c r="AJ98" s="162"/>
      <c r="AK98" s="161">
        <f t="shared" si="4"/>
        <v>4249606.6667123288</v>
      </c>
    </row>
    <row r="99" spans="1:37" x14ac:dyDescent="0.25">
      <c r="C99" s="64">
        <f>SUM(C2:C98)</f>
        <v>188618094.95754749</v>
      </c>
      <c r="D99" s="64">
        <f>SUM(D2:D98)</f>
        <v>10826446.690000001</v>
      </c>
      <c r="E99" s="8">
        <f>SUM(E2:E98)</f>
        <v>199444541.64754751</v>
      </c>
      <c r="F99" s="9"/>
      <c r="G99" s="64">
        <f>SUM(G2:G98)</f>
        <v>10185687.4530685</v>
      </c>
      <c r="H99" s="64">
        <f>SUM(H2:H98)</f>
        <v>14828874.37716895</v>
      </c>
      <c r="I99" s="64">
        <f>SUM(I2:I98)</f>
        <v>2113427.1232876712</v>
      </c>
      <c r="J99" s="64">
        <f t="shared" ref="J99:K99" si="7">SUM(J2:J98)</f>
        <v>73528.17</v>
      </c>
      <c r="K99" s="64">
        <f t="shared" si="7"/>
        <v>8520979.9699999988</v>
      </c>
      <c r="L99" s="64">
        <f>SUM(L2:L98)</f>
        <v>1166333.79</v>
      </c>
      <c r="M99" s="64">
        <f>SUM(M2:M98)</f>
        <v>10583439.666666668</v>
      </c>
      <c r="N99" s="64">
        <f>SUM(N2:N98)</f>
        <v>153416.66666666666</v>
      </c>
      <c r="O99" s="64">
        <f>SUM(O2:O98)</f>
        <v>74400</v>
      </c>
      <c r="P99" s="64">
        <f>SUBTOTAL(9,P2:P98)</f>
        <v>11248517.5</v>
      </c>
      <c r="Q99" s="64">
        <f>SUBTOTAL(9,Q2:Q98)</f>
        <v>1262984</v>
      </c>
      <c r="R99" s="64">
        <f>SUBTOTAL(9,R2:R98)</f>
        <v>3508163</v>
      </c>
      <c r="S99" s="64">
        <f t="shared" ref="S99:AH99" si="8">SUM(S2:S98)</f>
        <v>20400</v>
      </c>
      <c r="T99" s="64">
        <f t="shared" si="8"/>
        <v>249578.62000000002</v>
      </c>
      <c r="U99" s="64">
        <f t="shared" si="8"/>
        <v>1279340</v>
      </c>
      <c r="V99" s="64">
        <f>SUM(V2:V98)</f>
        <v>9927.7200000000012</v>
      </c>
      <c r="W99" s="64">
        <f t="shared" si="8"/>
        <v>970970</v>
      </c>
      <c r="X99" s="64">
        <f t="shared" si="8"/>
        <v>343647</v>
      </c>
      <c r="Y99" s="64">
        <f>SUM(Y2:Y98)</f>
        <v>517290</v>
      </c>
      <c r="Z99" s="64">
        <f t="shared" ref="Z99" si="9">SUM(Z2:Z98)</f>
        <v>123131.58000000002</v>
      </c>
      <c r="AA99" s="64">
        <f t="shared" si="8"/>
        <v>14000</v>
      </c>
      <c r="AB99" s="64">
        <f t="shared" si="8"/>
        <v>20755.78</v>
      </c>
      <c r="AC99" s="64">
        <f t="shared" si="8"/>
        <v>18270</v>
      </c>
      <c r="AD99" s="64">
        <f t="shared" si="8"/>
        <v>687218.75</v>
      </c>
      <c r="AE99" s="64">
        <f t="shared" si="8"/>
        <v>98032.5</v>
      </c>
      <c r="AF99" s="64">
        <f t="shared" si="8"/>
        <v>16000</v>
      </c>
      <c r="AG99" s="64">
        <f t="shared" si="8"/>
        <v>660515.72</v>
      </c>
      <c r="AH99" s="64">
        <f t="shared" si="8"/>
        <v>43684.39</v>
      </c>
      <c r="AI99" s="163">
        <f>SUM(AI2:AI98)</f>
        <v>719703.5</v>
      </c>
      <c r="AJ99" s="9"/>
      <c r="AK99" s="164">
        <f>SUM(AK2:AK98)</f>
        <v>268956758.92440599</v>
      </c>
    </row>
  </sheetData>
  <sortState xmlns:xlrd2="http://schemas.microsoft.com/office/spreadsheetml/2017/richdata2" ref="A2:AI98">
    <sortCondition ref="A98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00CB0B5B94724C979CC183157C996E" ma:contentTypeVersion="12" ma:contentTypeDescription="Create a new document." ma:contentTypeScope="" ma:versionID="2236a43aef55adfceb6a195973f42f6d">
  <xsd:schema xmlns:xsd="http://www.w3.org/2001/XMLSchema" xmlns:xs="http://www.w3.org/2001/XMLSchema" xmlns:p="http://schemas.microsoft.com/office/2006/metadata/properties" xmlns:ns2="1c60f506-7879-434e-ba85-2d6ad89a3d25" xmlns:ns3="1403eaaa-40c0-4385-a3a1-be2667bc99f6" targetNamespace="http://schemas.microsoft.com/office/2006/metadata/properties" ma:root="true" ma:fieldsID="d98f01c07473097ccaa7028326018a06" ns2:_="" ns3:_="">
    <xsd:import namespace="1c60f506-7879-434e-ba85-2d6ad89a3d25"/>
    <xsd:import namespace="1403eaaa-40c0-4385-a3a1-be2667bc9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0f506-7879-434e-ba85-2d6ad89a3d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eaaa-40c0-4385-a3a1-be2667bc9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03eaaa-40c0-4385-a3a1-be2667bc99f6">
      <UserInfo>
        <DisplayName>Margaret Olisa</DisplayName>
        <AccountId>37</AccountId>
        <AccountType/>
      </UserInfo>
      <UserInfo>
        <DisplayName>Collins Elechi</DisplayName>
        <AccountId>48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20E5E81-D0BA-4226-8FED-0042EE842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EF35BA-AF81-424A-87B3-CFE59214D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60f506-7879-434e-ba85-2d6ad89a3d25"/>
    <ds:schemaRef ds:uri="1403eaaa-40c0-4385-a3a1-be2667bc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F16CEC-33DE-43BC-BFA5-81D95B8F6931}">
  <ds:schemaRefs>
    <ds:schemaRef ds:uri="http://purl.org/dc/terms/"/>
    <ds:schemaRef ds:uri="1c60f506-7879-434e-ba85-2d6ad89a3d25"/>
    <ds:schemaRef ds:uri="http://purl.org/dc/dcmitype/"/>
    <ds:schemaRef ds:uri="http://schemas.microsoft.com/office/infopath/2007/PartnerControls"/>
    <ds:schemaRef ds:uri="1403eaaa-40c0-4385-a3a1-be2667bc99f6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School Summary</vt:lpstr>
      <vt:lpstr>All Schools</vt:lpstr>
      <vt:lpstr>Sheet2</vt:lpstr>
      <vt:lpstr>Sheet3</vt:lpstr>
      <vt:lpstr>Schools Version for Payments</vt:lpstr>
      <vt:lpstr>Sheet1</vt:lpstr>
      <vt:lpstr>21-22 Allocations</vt:lpstr>
      <vt:lpstr>'School Summary'!Print_Area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Kashmira Lad</dc:creator>
  <cp:lastModifiedBy>Ava Baptiste</cp:lastModifiedBy>
  <cp:lastPrinted>2020-02-28T15:35:53Z</cp:lastPrinted>
  <dcterms:created xsi:type="dcterms:W3CDTF">2019-02-14T11:50:49Z</dcterms:created>
  <dcterms:modified xsi:type="dcterms:W3CDTF">2022-04-20T09:45:57Z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0x0101006100CB0B5B94724C979CC183157C996E</vt:lpwstr>
  </property>
</Properties>
</file>